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S:\EXECUTIVE\OSI\Water Loss\EconomicModel\Version3\"/>
    </mc:Choice>
  </mc:AlternateContent>
  <xr:revisionPtr revIDLastSave="0" documentId="13_ncr:1_{E26B60E6-F0F9-4C8A-9C7F-5E9518F3053F}" xr6:coauthVersionLast="45" xr6:coauthVersionMax="45" xr10:uidLastSave="{00000000-0000-0000-0000-000000000000}"/>
  <bookViews>
    <workbookView xWindow="-120" yWindow="-120" windowWidth="20730" windowHeight="11160" tabRatio="496" xr2:uid="{00000000-000D-0000-FFFF-FFFF00000000}"/>
  </bookViews>
  <sheets>
    <sheet name="IntroTab" sheetId="1" r:id="rId1"/>
    <sheet name="Inputs" sheetId="6" r:id="rId2"/>
    <sheet name="Calculations" sheetId="9" r:id="rId3"/>
    <sheet name="Output" sheetId="12" r:id="rId4"/>
    <sheet name="Equations" sheetId="3" r:id="rId5"/>
    <sheet name="CollectedData_References" sheetId="5" r:id="rId6"/>
  </sheets>
  <definedNames>
    <definedName name="OLE_LINK1" localSheetId="4">Equations!$A$108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5" i="5" l="1"/>
  <c r="D106" i="5"/>
  <c r="D107" i="5"/>
  <c r="D108" i="5"/>
  <c r="D109" i="5"/>
  <c r="D110" i="5"/>
  <c r="D111" i="5"/>
  <c r="D112" i="5"/>
  <c r="D113" i="5"/>
  <c r="D114" i="5"/>
  <c r="K72" i="9" l="1"/>
  <c r="B37" i="9" l="1"/>
  <c r="B34" i="9"/>
  <c r="G312" i="5" l="1"/>
  <c r="O325" i="5"/>
  <c r="O324" i="5"/>
  <c r="O323" i="5"/>
  <c r="O322" i="5"/>
  <c r="O321" i="5"/>
  <c r="O320" i="5"/>
  <c r="O319" i="5"/>
  <c r="O318" i="5"/>
  <c r="O317" i="5"/>
  <c r="B162" i="5" l="1"/>
  <c r="B163" i="5" s="1"/>
  <c r="B166" i="5" s="1"/>
  <c r="B338" i="5"/>
  <c r="B343" i="5"/>
  <c r="A347" i="5" l="1"/>
  <c r="B157" i="5"/>
  <c r="G318" i="5" l="1"/>
  <c r="E91" i="5"/>
  <c r="E89" i="5"/>
  <c r="E90" i="5"/>
  <c r="E88" i="5"/>
  <c r="D36" i="5"/>
  <c r="C33" i="5" s="1"/>
  <c r="D33" i="5" s="1"/>
  <c r="D32" i="5"/>
  <c r="C93" i="5" l="1"/>
  <c r="E33" i="5"/>
  <c r="D22" i="5"/>
  <c r="D89" i="5" l="1"/>
  <c r="D90" i="5"/>
  <c r="D88" i="5"/>
  <c r="B52" i="9" l="1"/>
  <c r="B18" i="9" l="1"/>
  <c r="D21" i="5" l="1"/>
  <c r="E22" i="5" s="1"/>
  <c r="D23" i="5"/>
  <c r="E23" i="5" s="1"/>
  <c r="D24" i="5"/>
  <c r="D25" i="5"/>
  <c r="D26" i="5"/>
  <c r="D27" i="5"/>
  <c r="D28" i="5"/>
  <c r="D29" i="5"/>
  <c r="D30" i="5"/>
  <c r="D31" i="5"/>
  <c r="E32" i="5" l="1"/>
  <c r="E30" i="5"/>
  <c r="E26" i="5"/>
  <c r="E31" i="5"/>
  <c r="E29" i="5"/>
  <c r="E25" i="5"/>
  <c r="E27" i="5"/>
  <c r="E24" i="5"/>
  <c r="E28" i="5"/>
  <c r="C41" i="5" l="1"/>
  <c r="E9" i="12"/>
  <c r="E8" i="12"/>
  <c r="D4" i="12"/>
  <c r="B14" i="9" l="1"/>
  <c r="B13" i="9"/>
  <c r="B36" i="9" s="1"/>
  <c r="B11" i="9"/>
  <c r="B35" i="9" s="1"/>
  <c r="B10" i="9"/>
  <c r="B44" i="9"/>
  <c r="B26" i="9" l="1"/>
  <c r="B27" i="9" s="1"/>
  <c r="B22" i="9"/>
  <c r="B12" i="9"/>
  <c r="B38" i="9"/>
  <c r="B19" i="9"/>
  <c r="C8" i="12"/>
  <c r="D8" i="12" s="1"/>
  <c r="C4" i="12" s="1"/>
  <c r="B53" i="9"/>
  <c r="B59" i="9" s="1"/>
  <c r="B51" i="9"/>
  <c r="H312" i="5"/>
  <c r="I312" i="5"/>
  <c r="J312" i="5"/>
  <c r="K312" i="5"/>
  <c r="L312" i="5"/>
  <c r="M312" i="5"/>
  <c r="N312" i="5"/>
  <c r="O312" i="5"/>
  <c r="D121" i="5"/>
  <c r="D122" i="5"/>
  <c r="B20" i="9"/>
  <c r="B21" i="9"/>
  <c r="B49" i="9"/>
  <c r="B50" i="9"/>
  <c r="B43" i="9"/>
  <c r="B42" i="9"/>
  <c r="B41" i="9"/>
  <c r="H286" i="5"/>
  <c r="G286" i="5"/>
  <c r="B45" i="9"/>
  <c r="U72" i="9"/>
  <c r="U73" i="9" s="1"/>
  <c r="U74" i="9" s="1"/>
  <c r="U75" i="9" s="1"/>
  <c r="U76" i="9" s="1"/>
  <c r="U77" i="9" s="1"/>
  <c r="U78" i="9" s="1"/>
  <c r="U79" i="9" s="1"/>
  <c r="U80" i="9" s="1"/>
  <c r="U81" i="9" s="1"/>
  <c r="U82" i="9" s="1"/>
  <c r="U83" i="9" s="1"/>
  <c r="U84" i="9" s="1"/>
  <c r="U85" i="9" s="1"/>
  <c r="U86" i="9" s="1"/>
  <c r="U87" i="9" s="1"/>
  <c r="U88" i="9" s="1"/>
  <c r="U89" i="9" s="1"/>
  <c r="U90" i="9" s="1"/>
  <c r="U91" i="9" s="1"/>
  <c r="U92" i="9" s="1"/>
  <c r="U93" i="9" s="1"/>
  <c r="U94" i="9" s="1"/>
  <c r="U95" i="9" s="1"/>
  <c r="U96" i="9" s="1"/>
  <c r="U97" i="9" s="1"/>
  <c r="U98" i="9" s="1"/>
  <c r="U99" i="9" s="1"/>
  <c r="U100" i="9" s="1"/>
  <c r="U101" i="9" s="1"/>
  <c r="U102" i="9" s="1"/>
  <c r="U103" i="9" s="1"/>
  <c r="U104" i="9" s="1"/>
  <c r="U105" i="9" s="1"/>
  <c r="U106" i="9" s="1"/>
  <c r="U107" i="9" s="1"/>
  <c r="U108" i="9" s="1"/>
  <c r="U109" i="9" s="1"/>
  <c r="U110" i="9" s="1"/>
  <c r="U111" i="9" s="1"/>
  <c r="U112" i="9" s="1"/>
  <c r="U113" i="9" s="1"/>
  <c r="U114" i="9" s="1"/>
  <c r="U115" i="9" s="1"/>
  <c r="U116" i="9" s="1"/>
  <c r="U117" i="9" s="1"/>
  <c r="U118" i="9" s="1"/>
  <c r="U119" i="9" s="1"/>
  <c r="U120" i="9" s="1"/>
  <c r="U121" i="9" s="1"/>
  <c r="U122" i="9" s="1"/>
  <c r="U123" i="9" s="1"/>
  <c r="U124" i="9" s="1"/>
  <c r="U125" i="9" s="1"/>
  <c r="U126" i="9" s="1"/>
  <c r="U127" i="9" s="1"/>
  <c r="U128" i="9" s="1"/>
  <c r="U129" i="9" s="1"/>
  <c r="U130" i="9" s="1"/>
  <c r="U131" i="9" s="1"/>
  <c r="U132" i="9" s="1"/>
  <c r="U133" i="9" s="1"/>
  <c r="U134" i="9" s="1"/>
  <c r="U135" i="9" s="1"/>
  <c r="U136" i="9" s="1"/>
  <c r="U137" i="9" s="1"/>
  <c r="U138" i="9" s="1"/>
  <c r="U139" i="9" s="1"/>
  <c r="U140" i="9" s="1"/>
  <c r="U141" i="9" s="1"/>
  <c r="U142" i="9" s="1"/>
  <c r="U143" i="9" s="1"/>
  <c r="U144" i="9" s="1"/>
  <c r="U145" i="9" s="1"/>
  <c r="U146" i="9" s="1"/>
  <c r="U147" i="9" s="1"/>
  <c r="U148" i="9" s="1"/>
  <c r="U149" i="9" s="1"/>
  <c r="U150" i="9" s="1"/>
  <c r="U151" i="9" s="1"/>
  <c r="U152" i="9" s="1"/>
  <c r="U153" i="9" s="1"/>
  <c r="U154" i="9" s="1"/>
  <c r="U155" i="9" s="1"/>
  <c r="U156" i="9" s="1"/>
  <c r="U157" i="9" s="1"/>
  <c r="U158" i="9" s="1"/>
  <c r="U159" i="9" s="1"/>
  <c r="U160" i="9" s="1"/>
  <c r="U161" i="9" s="1"/>
  <c r="U162" i="9" s="1"/>
  <c r="U163" i="9" s="1"/>
  <c r="U164" i="9" s="1"/>
  <c r="U165" i="9" s="1"/>
  <c r="U166" i="9" s="1"/>
  <c r="U167" i="9" s="1"/>
  <c r="U168" i="9" s="1"/>
  <c r="U169" i="9" s="1"/>
  <c r="U170" i="9" s="1"/>
  <c r="U171" i="9" s="1"/>
  <c r="U172" i="9" s="1"/>
  <c r="U173" i="9" s="1"/>
  <c r="U174" i="9" s="1"/>
  <c r="U175" i="9" s="1"/>
  <c r="U176" i="9" s="1"/>
  <c r="U177" i="9" s="1"/>
  <c r="U178" i="9" s="1"/>
  <c r="U179" i="9" s="1"/>
  <c r="U180" i="9" s="1"/>
  <c r="U181" i="9" s="1"/>
  <c r="U182" i="9" s="1"/>
  <c r="U183" i="9" s="1"/>
  <c r="U184" i="9" s="1"/>
  <c r="U185" i="9" s="1"/>
  <c r="U186" i="9" s="1"/>
  <c r="U187" i="9" s="1"/>
  <c r="U188" i="9" s="1"/>
  <c r="U189" i="9" s="1"/>
  <c r="U190" i="9" s="1"/>
  <c r="U191" i="9" s="1"/>
  <c r="U192" i="9" s="1"/>
  <c r="U193" i="9" s="1"/>
  <c r="U194" i="9" s="1"/>
  <c r="U195" i="9" s="1"/>
  <c r="U196" i="9" s="1"/>
  <c r="U197" i="9" s="1"/>
  <c r="U198" i="9" s="1"/>
  <c r="U199" i="9" s="1"/>
  <c r="U200" i="9" s="1"/>
  <c r="U201" i="9" s="1"/>
  <c r="U202" i="9" s="1"/>
  <c r="U203" i="9" s="1"/>
  <c r="U204" i="9" s="1"/>
  <c r="U205" i="9" s="1"/>
  <c r="U206" i="9" s="1"/>
  <c r="U207" i="9" s="1"/>
  <c r="U208" i="9" s="1"/>
  <c r="U209" i="9" s="1"/>
  <c r="U210" i="9" s="1"/>
  <c r="U211" i="9" s="1"/>
  <c r="U212" i="9" s="1"/>
  <c r="U213" i="9" s="1"/>
  <c r="U214" i="9" s="1"/>
  <c r="U215" i="9" s="1"/>
  <c r="U216" i="9" s="1"/>
  <c r="U217" i="9" s="1"/>
  <c r="U218" i="9" s="1"/>
  <c r="U219" i="9" s="1"/>
  <c r="U220" i="9" s="1"/>
  <c r="U221" i="9" s="1"/>
  <c r="U222" i="9" s="1"/>
  <c r="U223" i="9" s="1"/>
  <c r="U224" i="9" s="1"/>
  <c r="U225" i="9" s="1"/>
  <c r="U226" i="9" s="1"/>
  <c r="U227" i="9" s="1"/>
  <c r="U228" i="9" s="1"/>
  <c r="U229" i="9" s="1"/>
  <c r="U230" i="9" s="1"/>
  <c r="U231" i="9" s="1"/>
  <c r="U232" i="9" s="1"/>
  <c r="U233" i="9" s="1"/>
  <c r="U234" i="9" s="1"/>
  <c r="U235" i="9" s="1"/>
  <c r="U236" i="9" s="1"/>
  <c r="U237" i="9" s="1"/>
  <c r="U238" i="9" s="1"/>
  <c r="U239" i="9" s="1"/>
  <c r="U240" i="9" s="1"/>
  <c r="U241" i="9" s="1"/>
  <c r="U242" i="9" s="1"/>
  <c r="U243" i="9" s="1"/>
  <c r="U244" i="9" s="1"/>
  <c r="U245" i="9" s="1"/>
  <c r="U246" i="9" s="1"/>
  <c r="U247" i="9" s="1"/>
  <c r="U248" i="9" s="1"/>
  <c r="U249" i="9" s="1"/>
  <c r="U250" i="9" s="1"/>
  <c r="U251" i="9" s="1"/>
  <c r="U252" i="9" s="1"/>
  <c r="U253" i="9" s="1"/>
  <c r="U254" i="9" s="1"/>
  <c r="U255" i="9" s="1"/>
  <c r="U256" i="9" s="1"/>
  <c r="U257" i="9" s="1"/>
  <c r="U258" i="9" s="1"/>
  <c r="U259" i="9" s="1"/>
  <c r="U260" i="9" s="1"/>
  <c r="U261" i="9" s="1"/>
  <c r="U262" i="9" s="1"/>
  <c r="U263" i="9" s="1"/>
  <c r="U264" i="9" s="1"/>
  <c r="U265" i="9" s="1"/>
  <c r="U266" i="9" s="1"/>
  <c r="U267" i="9" s="1"/>
  <c r="U268" i="9" s="1"/>
  <c r="U269" i="9" s="1"/>
  <c r="U270" i="9" s="1"/>
  <c r="U271" i="9" s="1"/>
  <c r="U272" i="9" s="1"/>
  <c r="U273" i="9" s="1"/>
  <c r="U274" i="9" s="1"/>
  <c r="U275" i="9" s="1"/>
  <c r="U276" i="9" s="1"/>
  <c r="U277" i="9" s="1"/>
  <c r="U278" i="9" s="1"/>
  <c r="U279" i="9" s="1"/>
  <c r="U280" i="9" s="1"/>
  <c r="U281" i="9" s="1"/>
  <c r="U282" i="9" s="1"/>
  <c r="U283" i="9" s="1"/>
  <c r="U284" i="9" s="1"/>
  <c r="U285" i="9" s="1"/>
  <c r="U286" i="9" s="1"/>
  <c r="U287" i="9" s="1"/>
  <c r="U288" i="9" s="1"/>
  <c r="U289" i="9" s="1"/>
  <c r="U290" i="9" s="1"/>
  <c r="U291" i="9" s="1"/>
  <c r="U292" i="9" s="1"/>
  <c r="U293" i="9" s="1"/>
  <c r="U294" i="9" s="1"/>
  <c r="U295" i="9" s="1"/>
  <c r="U296" i="9" s="1"/>
  <c r="U297" i="9" s="1"/>
  <c r="U298" i="9" s="1"/>
  <c r="U299" i="9" s="1"/>
  <c r="U300" i="9" s="1"/>
  <c r="U301" i="9" s="1"/>
  <c r="U302" i="9" s="1"/>
  <c r="U303" i="9" s="1"/>
  <c r="U304" i="9" s="1"/>
  <c r="U305" i="9" s="1"/>
  <c r="U306" i="9" s="1"/>
  <c r="U307" i="9" s="1"/>
  <c r="U308" i="9" s="1"/>
  <c r="U309" i="9" s="1"/>
  <c r="U310" i="9" s="1"/>
  <c r="U311" i="9" s="1"/>
  <c r="U312" i="9" s="1"/>
  <c r="U313" i="9" s="1"/>
  <c r="U314" i="9" s="1"/>
  <c r="U315" i="9" s="1"/>
  <c r="U316" i="9" s="1"/>
  <c r="U317" i="9" s="1"/>
  <c r="U318" i="9" s="1"/>
  <c r="U319" i="9" s="1"/>
  <c r="U320" i="9" s="1"/>
  <c r="U321" i="9" s="1"/>
  <c r="U322" i="9" s="1"/>
  <c r="U323" i="9" s="1"/>
  <c r="U324" i="9" s="1"/>
  <c r="U325" i="9" s="1"/>
  <c r="U326" i="9" s="1"/>
  <c r="U327" i="9" s="1"/>
  <c r="U328" i="9" s="1"/>
  <c r="U329" i="9" s="1"/>
  <c r="U330" i="9" s="1"/>
  <c r="U331" i="9" s="1"/>
  <c r="U332" i="9" s="1"/>
  <c r="U333" i="9" s="1"/>
  <c r="U334" i="9" s="1"/>
  <c r="U335" i="9" s="1"/>
  <c r="U336" i="9" s="1"/>
  <c r="U337" i="9" s="1"/>
  <c r="U338" i="9" s="1"/>
  <c r="U339" i="9" s="1"/>
  <c r="U340" i="9" s="1"/>
  <c r="U341" i="9" s="1"/>
  <c r="U342" i="9" s="1"/>
  <c r="U343" i="9" s="1"/>
  <c r="U344" i="9" s="1"/>
  <c r="U345" i="9" s="1"/>
  <c r="U346" i="9" s="1"/>
  <c r="U347" i="9" s="1"/>
  <c r="U348" i="9" s="1"/>
  <c r="U349" i="9" s="1"/>
  <c r="U350" i="9" s="1"/>
  <c r="U351" i="9" s="1"/>
  <c r="U352" i="9" s="1"/>
  <c r="U353" i="9" s="1"/>
  <c r="U354" i="9" s="1"/>
  <c r="U355" i="9" s="1"/>
  <c r="U356" i="9" s="1"/>
  <c r="U357" i="9" s="1"/>
  <c r="U358" i="9" s="1"/>
  <c r="U359" i="9" s="1"/>
  <c r="U360" i="9" s="1"/>
  <c r="U361" i="9" s="1"/>
  <c r="U362" i="9" s="1"/>
  <c r="U363" i="9" s="1"/>
  <c r="U364" i="9" s="1"/>
  <c r="U365" i="9" s="1"/>
  <c r="U366" i="9" s="1"/>
  <c r="U367" i="9" s="1"/>
  <c r="U368" i="9" s="1"/>
  <c r="U369" i="9" s="1"/>
  <c r="U370" i="9" s="1"/>
  <c r="U371" i="9" s="1"/>
  <c r="U372" i="9" s="1"/>
  <c r="U373" i="9" s="1"/>
  <c r="U374" i="9" s="1"/>
  <c r="U375" i="9" s="1"/>
  <c r="U376" i="9" s="1"/>
  <c r="U377" i="9" s="1"/>
  <c r="U378" i="9" s="1"/>
  <c r="U379" i="9" s="1"/>
  <c r="U380" i="9" s="1"/>
  <c r="U381" i="9" s="1"/>
  <c r="U382" i="9" s="1"/>
  <c r="U383" i="9" s="1"/>
  <c r="U384" i="9" s="1"/>
  <c r="U385" i="9" s="1"/>
  <c r="U386" i="9" s="1"/>
  <c r="U387" i="9" s="1"/>
  <c r="U388" i="9" s="1"/>
  <c r="U389" i="9" s="1"/>
  <c r="U390" i="9" s="1"/>
  <c r="U391" i="9" s="1"/>
  <c r="U392" i="9" s="1"/>
  <c r="U393" i="9" s="1"/>
  <c r="U394" i="9" s="1"/>
  <c r="U395" i="9" s="1"/>
  <c r="U396" i="9" s="1"/>
  <c r="U397" i="9" s="1"/>
  <c r="U398" i="9" s="1"/>
  <c r="U399" i="9" s="1"/>
  <c r="U400" i="9" s="1"/>
  <c r="U401" i="9" s="1"/>
  <c r="U402" i="9" s="1"/>
  <c r="U403" i="9" s="1"/>
  <c r="U404" i="9" s="1"/>
  <c r="U405" i="9" s="1"/>
  <c r="U406" i="9" s="1"/>
  <c r="U407" i="9" s="1"/>
  <c r="U408" i="9" s="1"/>
  <c r="U409" i="9" s="1"/>
  <c r="U410" i="9" s="1"/>
  <c r="U411" i="9" s="1"/>
  <c r="U412" i="9" s="1"/>
  <c r="U413" i="9" s="1"/>
  <c r="U414" i="9" s="1"/>
  <c r="U415" i="9" s="1"/>
  <c r="U416" i="9" s="1"/>
  <c r="U417" i="9" s="1"/>
  <c r="U418" i="9" s="1"/>
  <c r="U419" i="9" s="1"/>
  <c r="U420" i="9" s="1"/>
  <c r="U421" i="9" s="1"/>
  <c r="U422" i="9" s="1"/>
  <c r="U423" i="9" s="1"/>
  <c r="U424" i="9" s="1"/>
  <c r="U425" i="9" s="1"/>
  <c r="U426" i="9" s="1"/>
  <c r="U427" i="9" s="1"/>
  <c r="U428" i="9" s="1"/>
  <c r="U429" i="9" s="1"/>
  <c r="U430" i="9" s="1"/>
  <c r="P312" i="5" l="1"/>
  <c r="D328" i="5" s="1"/>
  <c r="B23" i="9"/>
  <c r="B28" i="9" s="1"/>
  <c r="B29" i="9" s="1"/>
  <c r="P71" i="9"/>
  <c r="P102" i="9" s="1"/>
  <c r="D123" i="5"/>
  <c r="B60" i="9"/>
  <c r="B62" i="9" s="1"/>
  <c r="B30" i="9" l="1"/>
  <c r="P188" i="9"/>
  <c r="P124" i="9"/>
  <c r="P388" i="9"/>
  <c r="P303" i="9"/>
  <c r="P302" i="9"/>
  <c r="P86" i="9"/>
  <c r="P365" i="9"/>
  <c r="P275" i="9"/>
  <c r="P269" i="9"/>
  <c r="P119" i="9"/>
  <c r="P375" i="9"/>
  <c r="P306" i="9"/>
  <c r="P127" i="9"/>
  <c r="P410" i="9"/>
  <c r="P352" i="9"/>
  <c r="P417" i="9"/>
  <c r="P245" i="9"/>
  <c r="P122" i="9"/>
  <c r="P278" i="9"/>
  <c r="P247" i="9"/>
  <c r="P244" i="9"/>
  <c r="P213" i="9"/>
  <c r="P415" i="9"/>
  <c r="P282" i="9"/>
  <c r="P318" i="9"/>
  <c r="P343" i="9"/>
  <c r="P198" i="9"/>
  <c r="P284" i="9"/>
  <c r="P359" i="9"/>
  <c r="P146" i="9"/>
  <c r="P106" i="9"/>
  <c r="P83" i="9"/>
  <c r="P84" i="9"/>
  <c r="P210" i="9"/>
  <c r="P202" i="9"/>
  <c r="P392" i="9"/>
  <c r="P170" i="9"/>
  <c r="P173" i="9"/>
  <c r="P405" i="9"/>
  <c r="P174" i="9"/>
  <c r="P378" i="9"/>
  <c r="P147" i="9"/>
  <c r="P371" i="9"/>
  <c r="P141" i="9"/>
  <c r="P310" i="9"/>
  <c r="P316" i="9"/>
  <c r="P112" i="9"/>
  <c r="P139" i="9"/>
  <c r="P333" i="9"/>
  <c r="P260" i="9"/>
  <c r="P309" i="9"/>
  <c r="P355" i="9"/>
  <c r="P428" i="9"/>
  <c r="P183" i="9"/>
  <c r="P360" i="9"/>
  <c r="P187" i="9"/>
  <c r="P313" i="9"/>
  <c r="P228" i="9"/>
  <c r="P229" i="9"/>
  <c r="P180" i="9"/>
  <c r="P111" i="9"/>
  <c r="P117" i="9"/>
  <c r="P128" i="9"/>
  <c r="P175" i="9"/>
  <c r="P287" i="9"/>
  <c r="P252" i="9"/>
  <c r="P164" i="9"/>
  <c r="P230" i="9"/>
  <c r="P105" i="9"/>
  <c r="P323" i="9"/>
  <c r="P186" i="9"/>
  <c r="P424" i="9"/>
  <c r="P264" i="9"/>
  <c r="P201" i="9"/>
  <c r="P366" i="9"/>
  <c r="P319" i="9"/>
  <c r="P77" i="9"/>
  <c r="P167" i="9"/>
  <c r="P98" i="9"/>
  <c r="P74" i="9"/>
  <c r="P126" i="9"/>
  <c r="P363" i="9"/>
  <c r="P358" i="9"/>
  <c r="P403" i="9"/>
  <c r="P219" i="9"/>
  <c r="P255" i="9"/>
  <c r="P268" i="9"/>
  <c r="P300" i="9"/>
  <c r="P381" i="9"/>
  <c r="P339" i="9"/>
  <c r="P357" i="9"/>
  <c r="P263" i="9"/>
  <c r="P272" i="9"/>
  <c r="P408" i="9"/>
  <c r="P87" i="9"/>
  <c r="P398" i="9"/>
  <c r="P130" i="9"/>
  <c r="P353" i="9"/>
  <c r="P383" i="9"/>
  <c r="P169" i="9"/>
  <c r="P390" i="9"/>
  <c r="P376" i="9"/>
  <c r="P351" i="9"/>
  <c r="P162" i="9"/>
  <c r="P148" i="9"/>
  <c r="P305" i="9"/>
  <c r="P349" i="9"/>
  <c r="P279" i="9"/>
  <c r="P206" i="9"/>
  <c r="P160" i="9"/>
  <c r="P416" i="9"/>
  <c r="P256" i="9"/>
  <c r="P209" i="9"/>
  <c r="P420" i="9"/>
  <c r="P317" i="9"/>
  <c r="P340" i="9"/>
  <c r="P182" i="9"/>
  <c r="P266" i="9"/>
  <c r="P367" i="9"/>
  <c r="P291" i="9"/>
  <c r="P215" i="9"/>
  <c r="P377" i="9"/>
  <c r="P133" i="9"/>
  <c r="P223" i="9"/>
  <c r="P237" i="9"/>
  <c r="P314" i="9"/>
  <c r="P212" i="9"/>
  <c r="P159" i="9"/>
  <c r="P315" i="9"/>
  <c r="P189" i="9"/>
  <c r="P399" i="9"/>
  <c r="P374" i="9"/>
  <c r="P425" i="9"/>
  <c r="P418" i="9"/>
  <c r="P234" i="9"/>
  <c r="P191" i="9"/>
  <c r="P347" i="9"/>
  <c r="P273" i="9"/>
  <c r="P95" i="9"/>
  <c r="P97" i="9"/>
  <c r="P85" i="9"/>
  <c r="P114" i="9"/>
  <c r="P145" i="9"/>
  <c r="P243" i="9"/>
  <c r="P335" i="9"/>
  <c r="P165" i="9"/>
  <c r="P132" i="9"/>
  <c r="P152" i="9"/>
  <c r="P172" i="9"/>
  <c r="P250" i="9"/>
  <c r="P286" i="9"/>
  <c r="P120" i="9"/>
  <c r="P372" i="9"/>
  <c r="P311" i="9"/>
  <c r="P81" i="9"/>
  <c r="P356" i="9"/>
  <c r="P121" i="9"/>
  <c r="P227" i="9"/>
  <c r="P297" i="9"/>
  <c r="P380" i="9"/>
  <c r="P166" i="9"/>
  <c r="P116" i="9"/>
  <c r="P391" i="9"/>
  <c r="P135" i="9"/>
  <c r="P101" i="9"/>
  <c r="P248" i="9"/>
  <c r="P222" i="9"/>
  <c r="P246" i="9"/>
  <c r="P271" i="9"/>
  <c r="P396" i="9"/>
  <c r="P225" i="9"/>
  <c r="P238" i="9"/>
  <c r="P103" i="9"/>
  <c r="P330" i="9"/>
  <c r="P131" i="9"/>
  <c r="P251" i="9"/>
  <c r="P413" i="9"/>
  <c r="P382" i="9"/>
  <c r="P224" i="9"/>
  <c r="P96" i="9"/>
  <c r="P211" i="9"/>
  <c r="P331" i="9"/>
  <c r="P368" i="9"/>
  <c r="P354" i="9"/>
  <c r="P220" i="9"/>
  <c r="P301" i="9"/>
  <c r="P231" i="9"/>
  <c r="P267" i="9"/>
  <c r="P290" i="9"/>
  <c r="P76" i="9"/>
  <c r="P199" i="9"/>
  <c r="P205" i="9"/>
  <c r="P143" i="9"/>
  <c r="P90" i="9"/>
  <c r="P193" i="9"/>
  <c r="P387" i="9"/>
  <c r="P144" i="9"/>
  <c r="P149" i="9"/>
  <c r="P100" i="9"/>
  <c r="P328" i="9"/>
  <c r="P118" i="9"/>
  <c r="P204" i="9"/>
  <c r="P322" i="9"/>
  <c r="P197" i="9"/>
  <c r="P402" i="9"/>
  <c r="P125" i="9"/>
  <c r="P110" i="9"/>
  <c r="P217" i="9"/>
  <c r="P257" i="9"/>
  <c r="P150" i="9"/>
  <c r="P332" i="9"/>
  <c r="P113" i="9"/>
  <c r="P242" i="9"/>
  <c r="P115" i="9"/>
  <c r="P241" i="9"/>
  <c r="P179" i="9"/>
  <c r="P134" i="9"/>
  <c r="P406" i="9"/>
  <c r="P214" i="9"/>
  <c r="P73" i="9"/>
  <c r="P93" i="9"/>
  <c r="P397" i="9"/>
  <c r="P163" i="9"/>
  <c r="P385" i="9"/>
  <c r="P239" i="9"/>
  <c r="P177" i="9"/>
  <c r="P304" i="9"/>
  <c r="P308" i="9"/>
  <c r="P254" i="9"/>
  <c r="P261" i="9"/>
  <c r="P292" i="9"/>
  <c r="P88" i="9"/>
  <c r="P137" i="9"/>
  <c r="P427" i="9"/>
  <c r="P207" i="9"/>
  <c r="P200" i="9"/>
  <c r="P414" i="9"/>
  <c r="P329" i="9"/>
  <c r="P430" i="9"/>
  <c r="P426" i="9"/>
  <c r="P280" i="9"/>
  <c r="P80" i="9"/>
  <c r="P82" i="9"/>
  <c r="P334" i="9"/>
  <c r="P281" i="9"/>
  <c r="P184" i="9"/>
  <c r="P190" i="9"/>
  <c r="P326" i="9"/>
  <c r="P412" i="9"/>
  <c r="P429" i="9"/>
  <c r="P401" i="9"/>
  <c r="P123" i="9"/>
  <c r="P161" i="9"/>
  <c r="P194" i="9"/>
  <c r="P350" i="9"/>
  <c r="P362" i="9"/>
  <c r="P158" i="9"/>
  <c r="P155" i="9"/>
  <c r="P288" i="9"/>
  <c r="P422" i="9"/>
  <c r="P216" i="9"/>
  <c r="P294" i="9"/>
  <c r="P140" i="9"/>
  <c r="P168" i="9"/>
  <c r="P327" i="9"/>
  <c r="P233" i="9"/>
  <c r="P208" i="9"/>
  <c r="P253" i="9"/>
  <c r="P404" i="9"/>
  <c r="P295" i="9"/>
  <c r="P154" i="9"/>
  <c r="P151" i="9"/>
  <c r="P259" i="9"/>
  <c r="P345" i="9"/>
  <c r="P361" i="9"/>
  <c r="P99" i="9"/>
  <c r="P274" i="9"/>
  <c r="P421" i="9"/>
  <c r="P235" i="9"/>
  <c r="P325" i="9"/>
  <c r="P72" i="9"/>
  <c r="P192" i="9"/>
  <c r="P384" i="9"/>
  <c r="P240" i="9"/>
  <c r="P265" i="9"/>
  <c r="P232" i="9"/>
  <c r="P108" i="9"/>
  <c r="P78" i="9"/>
  <c r="P338" i="9"/>
  <c r="P389" i="9"/>
  <c r="P221" i="9"/>
  <c r="P270" i="9"/>
  <c r="P285" i="9"/>
  <c r="P185" i="9"/>
  <c r="P156" i="9"/>
  <c r="P386" i="9"/>
  <c r="P312" i="9"/>
  <c r="P258" i="9"/>
  <c r="P346" i="9"/>
  <c r="P407" i="9"/>
  <c r="P153" i="9"/>
  <c r="P142" i="9"/>
  <c r="P289" i="9"/>
  <c r="P419" i="9"/>
  <c r="P104" i="9"/>
  <c r="P370" i="9"/>
  <c r="P195" i="9"/>
  <c r="P276" i="9"/>
  <c r="P283" i="9"/>
  <c r="P321" i="9"/>
  <c r="P423" i="9"/>
  <c r="P91" i="9"/>
  <c r="P336" i="9"/>
  <c r="P393" i="9"/>
  <c r="P171" i="9"/>
  <c r="P109" i="9"/>
  <c r="P138" i="9"/>
  <c r="P203" i="9"/>
  <c r="P341" i="9"/>
  <c r="P92" i="9"/>
  <c r="P176" i="9"/>
  <c r="P136" i="9"/>
  <c r="P409" i="9"/>
  <c r="P337" i="9"/>
  <c r="P307" i="9"/>
  <c r="P369" i="9"/>
  <c r="P394" i="9"/>
  <c r="P296" i="9"/>
  <c r="P181" i="9"/>
  <c r="P324" i="9"/>
  <c r="P400" i="9"/>
  <c r="P236" i="9"/>
  <c r="P395" i="9"/>
  <c r="P79" i="9"/>
  <c r="P379" i="9"/>
  <c r="P373" i="9"/>
  <c r="P226" i="9"/>
  <c r="P75" i="9"/>
  <c r="P262" i="9"/>
  <c r="P293" i="9"/>
  <c r="P196" i="9"/>
  <c r="P277" i="9"/>
  <c r="P129" i="9"/>
  <c r="P157" i="9"/>
  <c r="P299" i="9"/>
  <c r="P348" i="9"/>
  <c r="P107" i="9"/>
  <c r="P344" i="9"/>
  <c r="P178" i="9"/>
  <c r="P342" i="9"/>
  <c r="P89" i="9"/>
  <c r="P298" i="9"/>
  <c r="P218" i="9"/>
  <c r="P249" i="9"/>
  <c r="P320" i="9"/>
  <c r="P94" i="9"/>
  <c r="P364" i="9"/>
  <c r="P411" i="9"/>
  <c r="B63" i="9"/>
  <c r="J71" i="9" s="1"/>
  <c r="C420" i="9"/>
  <c r="B32" i="9"/>
  <c r="B61" i="9"/>
  <c r="B346" i="9" s="1"/>
  <c r="K71" i="9" l="1"/>
  <c r="L71" i="9" s="1"/>
  <c r="B33" i="9"/>
  <c r="D71" i="9"/>
  <c r="G71" i="9"/>
  <c r="K278" i="9"/>
  <c r="M278" i="9" s="1"/>
  <c r="K99" i="9"/>
  <c r="M99" i="9" s="1"/>
  <c r="K82" i="9"/>
  <c r="M82" i="9" s="1"/>
  <c r="D430" i="9"/>
  <c r="C76" i="9"/>
  <c r="K300" i="9"/>
  <c r="M300" i="9" s="1"/>
  <c r="K350" i="9"/>
  <c r="M350" i="9" s="1"/>
  <c r="K267" i="9"/>
  <c r="M267" i="9" s="1"/>
  <c r="C309" i="9"/>
  <c r="K93" i="9"/>
  <c r="M93" i="9" s="1"/>
  <c r="C77" i="9"/>
  <c r="C73" i="9"/>
  <c r="K381" i="9"/>
  <c r="M381" i="9" s="1"/>
  <c r="K75" i="9"/>
  <c r="M75" i="9" s="1"/>
  <c r="C72" i="9"/>
  <c r="D416" i="9"/>
  <c r="D196" i="9"/>
  <c r="D287" i="9"/>
  <c r="C91" i="9"/>
  <c r="D99" i="9"/>
  <c r="K210" i="9"/>
  <c r="M210" i="9" s="1"/>
  <c r="K250" i="9"/>
  <c r="M250" i="9" s="1"/>
  <c r="D95" i="9"/>
  <c r="D197" i="9"/>
  <c r="C419" i="9"/>
  <c r="K77" i="9"/>
  <c r="M77" i="9" s="1"/>
  <c r="K339" i="9"/>
  <c r="M339" i="9" s="1"/>
  <c r="D216" i="9"/>
  <c r="D276" i="9"/>
  <c r="K87" i="9"/>
  <c r="M87" i="9" s="1"/>
  <c r="K73" i="9"/>
  <c r="M73" i="9" s="1"/>
  <c r="D144" i="9"/>
  <c r="D100" i="9"/>
  <c r="D383" i="9"/>
  <c r="D131" i="9"/>
  <c r="D107" i="9"/>
  <c r="K94" i="9"/>
  <c r="M94" i="9" s="1"/>
  <c r="D425" i="9"/>
  <c r="D178" i="9"/>
  <c r="K191" i="9"/>
  <c r="M191" i="9" s="1"/>
  <c r="D309" i="9"/>
  <c r="K371" i="9"/>
  <c r="M371" i="9" s="1"/>
  <c r="K411" i="9"/>
  <c r="M411" i="9" s="1"/>
  <c r="D318" i="9"/>
  <c r="D224" i="9"/>
  <c r="D380" i="9"/>
  <c r="D429" i="9"/>
  <c r="K88" i="9"/>
  <c r="M88" i="9" s="1"/>
  <c r="K90" i="9"/>
  <c r="M90" i="9" s="1"/>
  <c r="D98" i="9"/>
  <c r="K428" i="9"/>
  <c r="M428" i="9" s="1"/>
  <c r="D299" i="9"/>
  <c r="D342" i="9"/>
  <c r="D123" i="9"/>
  <c r="K172" i="9"/>
  <c r="M172" i="9" s="1"/>
  <c r="K105" i="9"/>
  <c r="M105" i="9" s="1"/>
  <c r="C78" i="9"/>
  <c r="C83" i="9"/>
  <c r="D164" i="9"/>
  <c r="C92" i="9"/>
  <c r="K412" i="9"/>
  <c r="M412" i="9" s="1"/>
  <c r="K383" i="9"/>
  <c r="M383" i="9" s="1"/>
  <c r="K81" i="9"/>
  <c r="M81" i="9" s="1"/>
  <c r="K86" i="9"/>
  <c r="M86" i="9" s="1"/>
  <c r="D406" i="9"/>
  <c r="K128" i="9"/>
  <c r="M128" i="9" s="1"/>
  <c r="D85" i="9"/>
  <c r="D138" i="9"/>
  <c r="C80" i="9"/>
  <c r="K279" i="9"/>
  <c r="M279" i="9" s="1"/>
  <c r="D272" i="9"/>
  <c r="D367" i="9"/>
  <c r="D245" i="9"/>
  <c r="D110" i="9"/>
  <c r="C88" i="9"/>
  <c r="K139" i="9"/>
  <c r="M139" i="9" s="1"/>
  <c r="D392" i="9"/>
  <c r="D415" i="9"/>
  <c r="K215" i="9"/>
  <c r="M215" i="9" s="1"/>
  <c r="C268" i="9"/>
  <c r="C403" i="9"/>
  <c r="C416" i="9"/>
  <c r="K160" i="9"/>
  <c r="M160" i="9" s="1"/>
  <c r="D148" i="9"/>
  <c r="K197" i="9"/>
  <c r="M197" i="9" s="1"/>
  <c r="K103" i="9"/>
  <c r="M103" i="9" s="1"/>
  <c r="K304" i="9"/>
  <c r="M304" i="9" s="1"/>
  <c r="D152" i="9"/>
  <c r="K422" i="9"/>
  <c r="M422" i="9" s="1"/>
  <c r="K362" i="9"/>
  <c r="M362" i="9" s="1"/>
  <c r="D376" i="9"/>
  <c r="K85" i="9"/>
  <c r="M85" i="9" s="1"/>
  <c r="K89" i="9"/>
  <c r="M89" i="9" s="1"/>
  <c r="K152" i="9"/>
  <c r="M152" i="9" s="1"/>
  <c r="D174" i="9"/>
  <c r="D246" i="9"/>
  <c r="D314" i="9"/>
  <c r="D236" i="9"/>
  <c r="K364" i="9"/>
  <c r="M364" i="9" s="1"/>
  <c r="D336" i="9"/>
  <c r="K418" i="9"/>
  <c r="M418" i="9" s="1"/>
  <c r="D166" i="9"/>
  <c r="K248" i="9"/>
  <c r="M248" i="9" s="1"/>
  <c r="K98" i="9"/>
  <c r="M98" i="9" s="1"/>
  <c r="D108" i="9"/>
  <c r="D170" i="9"/>
  <c r="K243" i="9"/>
  <c r="M243" i="9" s="1"/>
  <c r="D291" i="9"/>
  <c r="K390" i="9"/>
  <c r="M390" i="9" s="1"/>
  <c r="D270" i="9"/>
  <c r="D277" i="9"/>
  <c r="D401" i="9"/>
  <c r="D381" i="9"/>
  <c r="D227" i="9"/>
  <c r="D398" i="9"/>
  <c r="D76" i="9"/>
  <c r="D233" i="9"/>
  <c r="K145" i="9"/>
  <c r="M145" i="9" s="1"/>
  <c r="D188" i="9"/>
  <c r="K421" i="9"/>
  <c r="M421" i="9" s="1"/>
  <c r="K101" i="9"/>
  <c r="M101" i="9" s="1"/>
  <c r="K225" i="9"/>
  <c r="M225" i="9" s="1"/>
  <c r="D154" i="9"/>
  <c r="K273" i="9"/>
  <c r="M273" i="9" s="1"/>
  <c r="D116" i="9"/>
  <c r="K174" i="9"/>
  <c r="M174" i="9" s="1"/>
  <c r="K271" i="9"/>
  <c r="M271" i="9" s="1"/>
  <c r="D375" i="9"/>
  <c r="K342" i="9"/>
  <c r="M342" i="9" s="1"/>
  <c r="K76" i="9"/>
  <c r="M76" i="9" s="1"/>
  <c r="K83" i="9"/>
  <c r="M83" i="9" s="1"/>
  <c r="K84" i="9"/>
  <c r="M84" i="9" s="1"/>
  <c r="K92" i="9"/>
  <c r="M92" i="9" s="1"/>
  <c r="D352" i="9"/>
  <c r="K140" i="9"/>
  <c r="M140" i="9" s="1"/>
  <c r="K228" i="9"/>
  <c r="M228" i="9" s="1"/>
  <c r="D379" i="9"/>
  <c r="D122" i="9"/>
  <c r="K360" i="9"/>
  <c r="M360" i="9" s="1"/>
  <c r="D239" i="9"/>
  <c r="K194" i="9"/>
  <c r="M194" i="9" s="1"/>
  <c r="D139" i="9"/>
  <c r="D251" i="9"/>
  <c r="D330" i="9"/>
  <c r="K95" i="9"/>
  <c r="M95" i="9" s="1"/>
  <c r="K118" i="9"/>
  <c r="M118" i="9" s="1"/>
  <c r="K388" i="9"/>
  <c r="M388" i="9" s="1"/>
  <c r="D134" i="9"/>
  <c r="D372" i="9"/>
  <c r="D241" i="9"/>
  <c r="D208" i="9"/>
  <c r="K132" i="9"/>
  <c r="M132" i="9" s="1"/>
  <c r="D377" i="9"/>
  <c r="D84" i="9"/>
  <c r="D400" i="9"/>
  <c r="K303" i="9"/>
  <c r="M303" i="9" s="1"/>
  <c r="K227" i="9"/>
  <c r="M227" i="9" s="1"/>
  <c r="K351" i="9"/>
  <c r="M351" i="9" s="1"/>
  <c r="K187" i="9"/>
  <c r="M187" i="9" s="1"/>
  <c r="D390" i="9"/>
  <c r="K181" i="9"/>
  <c r="M181" i="9" s="1"/>
  <c r="D273" i="9"/>
  <c r="D103" i="9"/>
  <c r="D97" i="9"/>
  <c r="D312" i="9"/>
  <c r="K186" i="9"/>
  <c r="M186" i="9" s="1"/>
  <c r="K79" i="9"/>
  <c r="M79" i="9" s="1"/>
  <c r="K91" i="9"/>
  <c r="M91" i="9" s="1"/>
  <c r="K78" i="9"/>
  <c r="M78" i="9" s="1"/>
  <c r="K74" i="9"/>
  <c r="M74" i="9" s="1"/>
  <c r="K80" i="9"/>
  <c r="M80" i="9" s="1"/>
  <c r="M72" i="9"/>
  <c r="K240" i="9"/>
  <c r="M240" i="9" s="1"/>
  <c r="D142" i="9"/>
  <c r="K380" i="9"/>
  <c r="M380" i="9" s="1"/>
  <c r="K286" i="9"/>
  <c r="M286" i="9" s="1"/>
  <c r="D414" i="9"/>
  <c r="D163" i="9"/>
  <c r="K281" i="9"/>
  <c r="M281" i="9" s="1"/>
  <c r="D378" i="9"/>
  <c r="K123" i="9"/>
  <c r="M123" i="9" s="1"/>
  <c r="D235" i="9"/>
  <c r="D350" i="9"/>
  <c r="K358" i="9"/>
  <c r="M358" i="9" s="1"/>
  <c r="D106" i="9"/>
  <c r="D193" i="9"/>
  <c r="D394" i="9"/>
  <c r="K316" i="9"/>
  <c r="M316" i="9" s="1"/>
  <c r="K104" i="9"/>
  <c r="M104" i="9" s="1"/>
  <c r="K333" i="9"/>
  <c r="M333" i="9" s="1"/>
  <c r="D73" i="9"/>
  <c r="D296" i="9"/>
  <c r="D285" i="9"/>
  <c r="K156" i="9"/>
  <c r="M156" i="9" s="1"/>
  <c r="K420" i="9"/>
  <c r="M420" i="9" s="1"/>
  <c r="K138" i="9"/>
  <c r="M138" i="9" s="1"/>
  <c r="D140" i="9"/>
  <c r="D317" i="9"/>
  <c r="D159" i="9"/>
  <c r="D261" i="9"/>
  <c r="K171" i="9"/>
  <c r="M171" i="9" s="1"/>
  <c r="K230" i="9"/>
  <c r="M230" i="9" s="1"/>
  <c r="K407" i="9"/>
  <c r="M407" i="9" s="1"/>
  <c r="D86" i="9"/>
  <c r="K188" i="9"/>
  <c r="M188" i="9" s="1"/>
  <c r="K189" i="9"/>
  <c r="M189" i="9" s="1"/>
  <c r="D305" i="9"/>
  <c r="D182" i="9"/>
  <c r="D397" i="9"/>
  <c r="K340" i="9"/>
  <c r="M340" i="9" s="1"/>
  <c r="D213" i="9"/>
  <c r="K329" i="9"/>
  <c r="M329" i="9" s="1"/>
  <c r="K359" i="9"/>
  <c r="M359" i="9" s="1"/>
  <c r="K410" i="9"/>
  <c r="M410" i="9" s="1"/>
  <c r="D363" i="9"/>
  <c r="D393" i="9"/>
  <c r="D284" i="9"/>
  <c r="D219" i="9"/>
  <c r="D374" i="9"/>
  <c r="K327" i="9"/>
  <c r="M327" i="9" s="1"/>
  <c r="K158" i="9"/>
  <c r="M158" i="9" s="1"/>
  <c r="D347" i="9"/>
  <c r="K415" i="9"/>
  <c r="M415" i="9" s="1"/>
  <c r="D90" i="9"/>
  <c r="D249" i="9"/>
  <c r="D420" i="9"/>
  <c r="D332" i="9"/>
  <c r="K121" i="9"/>
  <c r="M121" i="9" s="1"/>
  <c r="D171" i="9"/>
  <c r="D326" i="9"/>
  <c r="D333" i="9"/>
  <c r="K258" i="9"/>
  <c r="M258" i="9" s="1"/>
  <c r="K379" i="9"/>
  <c r="M379" i="9" s="1"/>
  <c r="D408" i="9"/>
  <c r="K392" i="9"/>
  <c r="M392" i="9" s="1"/>
  <c r="K292" i="9"/>
  <c r="M292" i="9" s="1"/>
  <c r="D403" i="9"/>
  <c r="D126" i="9"/>
  <c r="K366" i="9"/>
  <c r="M366" i="9" s="1"/>
  <c r="K147" i="9"/>
  <c r="M147" i="9" s="1"/>
  <c r="D212" i="9"/>
  <c r="C252" i="9"/>
  <c r="D321" i="9"/>
  <c r="C244" i="9"/>
  <c r="C412" i="9"/>
  <c r="C423" i="9"/>
  <c r="C426" i="9"/>
  <c r="K256" i="9"/>
  <c r="M256" i="9" s="1"/>
  <c r="K287" i="9"/>
  <c r="M287" i="9" s="1"/>
  <c r="C422" i="9"/>
  <c r="D145" i="9"/>
  <c r="D348" i="9"/>
  <c r="C218" i="9"/>
  <c r="D395" i="9"/>
  <c r="D339" i="9"/>
  <c r="K178" i="9"/>
  <c r="M178" i="9" s="1"/>
  <c r="D242" i="9"/>
  <c r="D288" i="9"/>
  <c r="D141" i="9"/>
  <c r="K424" i="9"/>
  <c r="M424" i="9" s="1"/>
  <c r="K389" i="9"/>
  <c r="M389" i="9" s="1"/>
  <c r="K214" i="9"/>
  <c r="M214" i="9" s="1"/>
  <c r="D360" i="9"/>
  <c r="K311" i="9"/>
  <c r="M311" i="9" s="1"/>
  <c r="K245" i="9"/>
  <c r="M245" i="9" s="1"/>
  <c r="D274" i="9"/>
  <c r="D190" i="9"/>
  <c r="K253" i="9"/>
  <c r="M253" i="9" s="1"/>
  <c r="K290" i="9"/>
  <c r="M290" i="9" s="1"/>
  <c r="K161" i="9"/>
  <c r="M161" i="9" s="1"/>
  <c r="D337" i="9"/>
  <c r="K274" i="9"/>
  <c r="M274" i="9" s="1"/>
  <c r="D368" i="9"/>
  <c r="D230" i="9"/>
  <c r="D295" i="9"/>
  <c r="C93" i="9"/>
  <c r="D124" i="9"/>
  <c r="D217" i="9"/>
  <c r="C247" i="9"/>
  <c r="D162" i="9"/>
  <c r="K346" i="9"/>
  <c r="M346" i="9" s="1"/>
  <c r="K136" i="9"/>
  <c r="M136" i="9" s="1"/>
  <c r="D308" i="9"/>
  <c r="D173" i="9"/>
  <c r="D209" i="9"/>
  <c r="D168" i="9"/>
  <c r="D101" i="9"/>
  <c r="K341" i="9"/>
  <c r="M341" i="9" s="1"/>
  <c r="K288" i="9"/>
  <c r="M288" i="9" s="1"/>
  <c r="K205" i="9"/>
  <c r="M205" i="9" s="1"/>
  <c r="D413" i="9"/>
  <c r="D386" i="9"/>
  <c r="K116" i="9"/>
  <c r="M116" i="9" s="1"/>
  <c r="K264" i="9"/>
  <c r="M264" i="9" s="1"/>
  <c r="D410" i="9"/>
  <c r="D310" i="9"/>
  <c r="D220" i="9"/>
  <c r="D112" i="9"/>
  <c r="D118" i="9"/>
  <c r="D91" i="9"/>
  <c r="D80" i="9"/>
  <c r="D158" i="9"/>
  <c r="K372" i="9"/>
  <c r="M372" i="9" s="1"/>
  <c r="K246" i="9"/>
  <c r="M246" i="9" s="1"/>
  <c r="D328" i="9"/>
  <c r="D157" i="9"/>
  <c r="D180" i="9"/>
  <c r="K417" i="9"/>
  <c r="M417" i="9" s="1"/>
  <c r="C89" i="9"/>
  <c r="K403" i="9"/>
  <c r="M403" i="9" s="1"/>
  <c r="K297" i="9"/>
  <c r="M297" i="9" s="1"/>
  <c r="K137" i="9"/>
  <c r="M137" i="9" s="1"/>
  <c r="D206" i="9"/>
  <c r="D161" i="9"/>
  <c r="D78" i="9"/>
  <c r="C87" i="9"/>
  <c r="D75" i="9"/>
  <c r="K405" i="9"/>
  <c r="M405" i="9" s="1"/>
  <c r="K213" i="9"/>
  <c r="M213" i="9" s="1"/>
  <c r="K289" i="9"/>
  <c r="M289" i="9" s="1"/>
  <c r="D334" i="9"/>
  <c r="K318" i="9"/>
  <c r="M318" i="9" s="1"/>
  <c r="D365" i="9"/>
  <c r="K218" i="9"/>
  <c r="M218" i="9" s="1"/>
  <c r="D351" i="9"/>
  <c r="D358" i="9"/>
  <c r="D200" i="9"/>
  <c r="C415" i="9"/>
  <c r="K398" i="9"/>
  <c r="M398" i="9" s="1"/>
  <c r="C417" i="9"/>
  <c r="C429" i="9"/>
  <c r="C427" i="9"/>
  <c r="C421" i="9"/>
  <c r="K378" i="9"/>
  <c r="M378" i="9" s="1"/>
  <c r="C265" i="9"/>
  <c r="K375" i="9"/>
  <c r="M375" i="9" s="1"/>
  <c r="K307" i="9"/>
  <c r="M307" i="9" s="1"/>
  <c r="K385" i="9"/>
  <c r="M385" i="9" s="1"/>
  <c r="C424" i="9"/>
  <c r="K127" i="9"/>
  <c r="M127" i="9" s="1"/>
  <c r="K306" i="9"/>
  <c r="M306" i="9" s="1"/>
  <c r="D297" i="9"/>
  <c r="D232" i="9"/>
  <c r="D195" i="9"/>
  <c r="K320" i="9"/>
  <c r="M320" i="9" s="1"/>
  <c r="K150" i="9"/>
  <c r="M150" i="9" s="1"/>
  <c r="D303" i="9"/>
  <c r="D388" i="9"/>
  <c r="D316" i="9"/>
  <c r="K177" i="9"/>
  <c r="M177" i="9" s="1"/>
  <c r="D181" i="9"/>
  <c r="D160" i="9"/>
  <c r="K325" i="9"/>
  <c r="M325" i="9" s="1"/>
  <c r="D411" i="9"/>
  <c r="D426" i="9"/>
  <c r="K182" i="9"/>
  <c r="M182" i="9" s="1"/>
  <c r="K231" i="9"/>
  <c r="M231" i="9" s="1"/>
  <c r="D319" i="9"/>
  <c r="D231" i="9"/>
  <c r="D223" i="9"/>
  <c r="D130" i="9"/>
  <c r="D81" i="9"/>
  <c r="D104" i="9"/>
  <c r="D417" i="9"/>
  <c r="D117" i="9"/>
  <c r="K192" i="9"/>
  <c r="M192" i="9" s="1"/>
  <c r="K309" i="9"/>
  <c r="M309" i="9" s="1"/>
  <c r="D265" i="9"/>
  <c r="D83" i="9"/>
  <c r="D248" i="9"/>
  <c r="C86" i="9"/>
  <c r="D77" i="9"/>
  <c r="K399" i="9"/>
  <c r="M399" i="9" s="1"/>
  <c r="K386" i="9"/>
  <c r="M386" i="9" s="1"/>
  <c r="D315" i="9"/>
  <c r="D349" i="9"/>
  <c r="D322" i="9"/>
  <c r="D382" i="9"/>
  <c r="K153" i="9"/>
  <c r="M153" i="9" s="1"/>
  <c r="D346" i="9"/>
  <c r="D153" i="9"/>
  <c r="D120" i="9"/>
  <c r="D132" i="9"/>
  <c r="C82" i="9"/>
  <c r="D199" i="9"/>
  <c r="C107" i="9"/>
  <c r="D79" i="9"/>
  <c r="K384" i="9"/>
  <c r="M384" i="9" s="1"/>
  <c r="K315" i="9"/>
  <c r="M315" i="9" s="1"/>
  <c r="D228" i="9"/>
  <c r="D102" i="9"/>
  <c r="C368" i="9"/>
  <c r="K361" i="9"/>
  <c r="M361" i="9" s="1"/>
  <c r="C71" i="9"/>
  <c r="K395" i="9"/>
  <c r="M395" i="9" s="1"/>
  <c r="K322" i="9"/>
  <c r="M322" i="9" s="1"/>
  <c r="D344" i="9"/>
  <c r="D210" i="9"/>
  <c r="D169" i="9"/>
  <c r="D201" i="9"/>
  <c r="D184" i="9"/>
  <c r="D93" i="9"/>
  <c r="K229" i="9"/>
  <c r="M229" i="9" s="1"/>
  <c r="K374" i="9"/>
  <c r="M374" i="9" s="1"/>
  <c r="K204" i="9"/>
  <c r="M204" i="9" s="1"/>
  <c r="K291" i="9"/>
  <c r="M291" i="9" s="1"/>
  <c r="K263" i="9"/>
  <c r="M263" i="9" s="1"/>
  <c r="D259" i="9"/>
  <c r="K141" i="9"/>
  <c r="M141" i="9" s="1"/>
  <c r="C413" i="9"/>
  <c r="C414" i="9"/>
  <c r="K367" i="9"/>
  <c r="M367" i="9" s="1"/>
  <c r="K369" i="9"/>
  <c r="M369" i="9" s="1"/>
  <c r="K166" i="9"/>
  <c r="M166" i="9" s="1"/>
  <c r="K357" i="9"/>
  <c r="M357" i="9" s="1"/>
  <c r="D119" i="9"/>
  <c r="D94" i="9"/>
  <c r="D302" i="9"/>
  <c r="K110" i="9"/>
  <c r="M110" i="9" s="1"/>
  <c r="D129" i="9"/>
  <c r="D82" i="9"/>
  <c r="K224" i="9"/>
  <c r="M224" i="9" s="1"/>
  <c r="K125" i="9"/>
  <c r="M125" i="9" s="1"/>
  <c r="K334" i="9"/>
  <c r="M334" i="9" s="1"/>
  <c r="D127" i="9"/>
  <c r="K193" i="9"/>
  <c r="M193" i="9" s="1"/>
  <c r="D207" i="9"/>
  <c r="C425" i="9"/>
  <c r="D96" i="9"/>
  <c r="D221" i="9"/>
  <c r="D422" i="9"/>
  <c r="D87" i="9"/>
  <c r="D177" i="9"/>
  <c r="D396" i="9"/>
  <c r="C430" i="9"/>
  <c r="D271" i="9"/>
  <c r="D389" i="9"/>
  <c r="D301" i="9"/>
  <c r="C339" i="9"/>
  <c r="B413" i="9"/>
  <c r="K237" i="9"/>
  <c r="M237" i="9" s="1"/>
  <c r="K323" i="9"/>
  <c r="M323" i="9" s="1"/>
  <c r="B411" i="9"/>
  <c r="D409" i="9"/>
  <c r="B427" i="9"/>
  <c r="C384" i="9"/>
  <c r="C428" i="9"/>
  <c r="B420" i="9"/>
  <c r="B429" i="9"/>
  <c r="C418" i="9"/>
  <c r="B416" i="9"/>
  <c r="B418" i="9"/>
  <c r="B425" i="9"/>
  <c r="B430" i="9"/>
  <c r="B422" i="9"/>
  <c r="B426" i="9"/>
  <c r="B428" i="9"/>
  <c r="C411" i="9"/>
  <c r="B412" i="9"/>
  <c r="B414" i="9"/>
  <c r="B417" i="9"/>
  <c r="B415" i="9"/>
  <c r="B424" i="9"/>
  <c r="B419" i="9"/>
  <c r="B423" i="9"/>
  <c r="B410" i="9"/>
  <c r="B421" i="9"/>
  <c r="C410" i="9"/>
  <c r="B408" i="9"/>
  <c r="B367" i="9"/>
  <c r="C79" i="9"/>
  <c r="D128" i="9"/>
  <c r="C84" i="9"/>
  <c r="D256" i="9"/>
  <c r="K200" i="9"/>
  <c r="M200" i="9" s="1"/>
  <c r="K209" i="9"/>
  <c r="M209" i="9" s="1"/>
  <c r="K354" i="9"/>
  <c r="M354" i="9" s="1"/>
  <c r="K97" i="9"/>
  <c r="M97" i="9" s="1"/>
  <c r="K338" i="9"/>
  <c r="M338" i="9" s="1"/>
  <c r="D268" i="9"/>
  <c r="D202" i="9"/>
  <c r="D74" i="9"/>
  <c r="C90" i="9"/>
  <c r="D151" i="9"/>
  <c r="D147" i="9"/>
  <c r="C85" i="9"/>
  <c r="D362" i="9"/>
  <c r="K119" i="9"/>
  <c r="M119" i="9" s="1"/>
  <c r="D175" i="9"/>
  <c r="K308" i="9"/>
  <c r="M308" i="9" s="1"/>
  <c r="D364" i="9"/>
  <c r="K108" i="9"/>
  <c r="M108" i="9" s="1"/>
  <c r="K397" i="9"/>
  <c r="M397" i="9" s="1"/>
  <c r="K416" i="9"/>
  <c r="M416" i="9" s="1"/>
  <c r="C81" i="9"/>
  <c r="D133" i="9"/>
  <c r="D252" i="9"/>
  <c r="D88" i="9"/>
  <c r="D269" i="9"/>
  <c r="D324" i="9"/>
  <c r="K321" i="9"/>
  <c r="M321" i="9" s="1"/>
  <c r="K285" i="9"/>
  <c r="M285" i="9" s="1"/>
  <c r="K365" i="9"/>
  <c r="M365" i="9" s="1"/>
  <c r="D186" i="9"/>
  <c r="D361" i="9"/>
  <c r="D183" i="9"/>
  <c r="D258" i="9"/>
  <c r="D428" i="9"/>
  <c r="D289" i="9"/>
  <c r="K208" i="9"/>
  <c r="M208" i="9" s="1"/>
  <c r="K299" i="9"/>
  <c r="M299" i="9" s="1"/>
  <c r="K330" i="9"/>
  <c r="M330" i="9" s="1"/>
  <c r="K387" i="9"/>
  <c r="M387" i="9" s="1"/>
  <c r="K414" i="9"/>
  <c r="M414" i="9" s="1"/>
  <c r="D137" i="9"/>
  <c r="K202" i="9"/>
  <c r="M202" i="9" s="1"/>
  <c r="K255" i="9"/>
  <c r="M255" i="9" s="1"/>
  <c r="K356" i="9"/>
  <c r="M356" i="9" s="1"/>
  <c r="K221" i="9"/>
  <c r="M221" i="9" s="1"/>
  <c r="B335" i="9"/>
  <c r="D156" i="9"/>
  <c r="D185" i="9"/>
  <c r="D189" i="9"/>
  <c r="D278" i="9"/>
  <c r="K234" i="9"/>
  <c r="M234" i="9" s="1"/>
  <c r="K254" i="9"/>
  <c r="M254" i="9" s="1"/>
  <c r="K247" i="9"/>
  <c r="M247" i="9" s="1"/>
  <c r="D115" i="9"/>
  <c r="K162" i="9"/>
  <c r="M162" i="9" s="1"/>
  <c r="K159" i="9"/>
  <c r="M159" i="9" s="1"/>
  <c r="D89" i="9"/>
  <c r="K195" i="9"/>
  <c r="M195" i="9" s="1"/>
  <c r="K130" i="9"/>
  <c r="M130" i="9" s="1"/>
  <c r="B360" i="9"/>
  <c r="D264" i="9"/>
  <c r="K235" i="9"/>
  <c r="M235" i="9" s="1"/>
  <c r="D143" i="9"/>
  <c r="K269" i="9"/>
  <c r="M269" i="9" s="1"/>
  <c r="K301" i="9"/>
  <c r="M301" i="9" s="1"/>
  <c r="D331" i="9"/>
  <c r="B232" i="9"/>
  <c r="B324" i="9"/>
  <c r="B269" i="9"/>
  <c r="K222" i="9"/>
  <c r="M222" i="9" s="1"/>
  <c r="K168" i="9"/>
  <c r="M168" i="9" s="1"/>
  <c r="D240" i="9"/>
  <c r="K305" i="9"/>
  <c r="M305" i="9" s="1"/>
  <c r="B328" i="9"/>
  <c r="C215" i="9"/>
  <c r="B351" i="9"/>
  <c r="D306" i="9"/>
  <c r="K270" i="9"/>
  <c r="M270" i="9" s="1"/>
  <c r="D427" i="9"/>
  <c r="K429" i="9"/>
  <c r="M429" i="9" s="1"/>
  <c r="C306" i="9"/>
  <c r="K114" i="9"/>
  <c r="M114" i="9" s="1"/>
  <c r="B371" i="9"/>
  <c r="C333" i="9"/>
  <c r="B409" i="9"/>
  <c r="B359" i="9"/>
  <c r="B245" i="9"/>
  <c r="B251" i="9"/>
  <c r="B214" i="9"/>
  <c r="B293" i="9"/>
  <c r="B262" i="9"/>
  <c r="B254" i="9"/>
  <c r="B237" i="9"/>
  <c r="B242" i="9"/>
  <c r="B224" i="9"/>
  <c r="B260" i="9"/>
  <c r="B291" i="9"/>
  <c r="B247" i="9"/>
  <c r="B283" i="9"/>
  <c r="B221" i="9"/>
  <c r="B258" i="9"/>
  <c r="B281" i="9"/>
  <c r="B213" i="9"/>
  <c r="B218" i="9"/>
  <c r="B292" i="9"/>
  <c r="B277" i="9"/>
  <c r="B290" i="9"/>
  <c r="B233" i="9"/>
  <c r="B303" i="9"/>
  <c r="B266" i="9"/>
  <c r="B215" i="9"/>
  <c r="B275" i="9"/>
  <c r="B278" i="9"/>
  <c r="B246" i="9"/>
  <c r="B223" i="9"/>
  <c r="B286" i="9"/>
  <c r="B241" i="9"/>
  <c r="B238" i="9"/>
  <c r="B264" i="9"/>
  <c r="B234" i="9"/>
  <c r="B338" i="9"/>
  <c r="B370" i="9"/>
  <c r="B402" i="9"/>
  <c r="B253" i="9"/>
  <c r="B267" i="9"/>
  <c r="B294" i="9"/>
  <c r="B225" i="9"/>
  <c r="B336" i="9"/>
  <c r="B368" i="9"/>
  <c r="B400" i="9"/>
  <c r="B288" i="9"/>
  <c r="B361" i="9"/>
  <c r="B239" i="9"/>
  <c r="B217" i="9"/>
  <c r="B236" i="9"/>
  <c r="B391" i="9"/>
  <c r="B326" i="9"/>
  <c r="B377" i="9"/>
  <c r="B219" i="9"/>
  <c r="B248" i="9"/>
  <c r="B309" i="9"/>
  <c r="B388" i="9"/>
  <c r="B387" i="9"/>
  <c r="B229" i="9"/>
  <c r="B306" i="9"/>
  <c r="E306" i="9" s="1"/>
  <c r="B304" i="9"/>
  <c r="B289" i="9"/>
  <c r="B296" i="9"/>
  <c r="B334" i="9"/>
  <c r="B366" i="9"/>
  <c r="B398" i="9"/>
  <c r="B249" i="9"/>
  <c r="B228" i="9"/>
  <c r="B240" i="9"/>
  <c r="B276" i="9"/>
  <c r="B332" i="9"/>
  <c r="B364" i="9"/>
  <c r="B396" i="9"/>
  <c r="B314" i="9"/>
  <c r="B378" i="9"/>
  <c r="B298" i="9"/>
  <c r="B268" i="9"/>
  <c r="B270" i="9"/>
  <c r="B345" i="9"/>
  <c r="B252" i="9"/>
  <c r="B407" i="9"/>
  <c r="B403" i="9"/>
  <c r="B250" i="9"/>
  <c r="B272" i="9"/>
  <c r="B305" i="9"/>
  <c r="B397" i="9"/>
  <c r="B369" i="9"/>
  <c r="B282" i="9"/>
  <c r="B263" i="9"/>
  <c r="B230" i="9"/>
  <c r="B274" i="9"/>
  <c r="B322" i="9"/>
  <c r="B354" i="9"/>
  <c r="B386" i="9"/>
  <c r="B302" i="9"/>
  <c r="B231" i="9"/>
  <c r="B261" i="9"/>
  <c r="B320" i="9"/>
  <c r="B352" i="9"/>
  <c r="B384" i="9"/>
  <c r="B329" i="9"/>
  <c r="B393" i="9"/>
  <c r="B273" i="9"/>
  <c r="B327" i="9"/>
  <c r="B375" i="9"/>
  <c r="B308" i="9"/>
  <c r="B404" i="9"/>
  <c r="B356" i="9"/>
  <c r="B323" i="9"/>
  <c r="B340" i="9"/>
  <c r="B401" i="9"/>
  <c r="B285" i="9"/>
  <c r="B297" i="9"/>
  <c r="B315" i="9"/>
  <c r="B255" i="9"/>
  <c r="B284" i="9"/>
  <c r="B318" i="9"/>
  <c r="B259" i="9"/>
  <c r="B256" i="9"/>
  <c r="B350" i="9"/>
  <c r="B316" i="9"/>
  <c r="B287" i="9"/>
  <c r="B265" i="9"/>
  <c r="B244" i="9"/>
  <c r="B382" i="9"/>
  <c r="B279" i="9"/>
  <c r="B348" i="9"/>
  <c r="B307" i="9"/>
  <c r="B310" i="9"/>
  <c r="B365" i="9"/>
  <c r="B358" i="9"/>
  <c r="B330" i="9"/>
  <c r="B392" i="9"/>
  <c r="B349" i="9"/>
  <c r="B321" i="9"/>
  <c r="B311" i="9"/>
  <c r="B342" i="9"/>
  <c r="B399" i="9"/>
  <c r="B331" i="9"/>
  <c r="B271" i="9"/>
  <c r="B220" i="9"/>
  <c r="B380" i="9"/>
  <c r="B313" i="9"/>
  <c r="B357" i="9"/>
  <c r="B300" i="9"/>
  <c r="B226" i="9"/>
  <c r="B319" i="9"/>
  <c r="B312" i="9"/>
  <c r="B390" i="9"/>
  <c r="B394" i="9"/>
  <c r="B355" i="9"/>
  <c r="B243" i="9"/>
  <c r="B381" i="9"/>
  <c r="B353" i="9"/>
  <c r="B406" i="9"/>
  <c r="B373" i="9"/>
  <c r="D125" i="9"/>
  <c r="D172" i="9"/>
  <c r="D109" i="9"/>
  <c r="D113" i="9"/>
  <c r="D167" i="9"/>
  <c r="D266" i="9"/>
  <c r="K260" i="9"/>
  <c r="M260" i="9" s="1"/>
  <c r="K241" i="9"/>
  <c r="M241" i="9" s="1"/>
  <c r="K343" i="9"/>
  <c r="M343" i="9" s="1"/>
  <c r="D179" i="9"/>
  <c r="K406" i="9"/>
  <c r="M406" i="9" s="1"/>
  <c r="D226" i="9"/>
  <c r="D340" i="9"/>
  <c r="K144" i="9"/>
  <c r="M144" i="9" s="1"/>
  <c r="K167" i="9"/>
  <c r="M167" i="9" s="1"/>
  <c r="K335" i="9"/>
  <c r="M335" i="9" s="1"/>
  <c r="K164" i="9"/>
  <c r="M164" i="9" s="1"/>
  <c r="K425" i="9"/>
  <c r="M425" i="9" s="1"/>
  <c r="K155" i="9"/>
  <c r="M155" i="9" s="1"/>
  <c r="C75" i="9"/>
  <c r="D121" i="9"/>
  <c r="K266" i="9"/>
  <c r="M266" i="9" s="1"/>
  <c r="D399" i="9"/>
  <c r="D290" i="9"/>
  <c r="D194" i="9"/>
  <c r="C292" i="9"/>
  <c r="B363" i="9"/>
  <c r="C74" i="9"/>
  <c r="D149" i="9"/>
  <c r="D254" i="9"/>
  <c r="D404" i="9"/>
  <c r="K276" i="9"/>
  <c r="M276" i="9" s="1"/>
  <c r="D421" i="9"/>
  <c r="K409" i="9"/>
  <c r="M409" i="9" s="1"/>
  <c r="D150" i="9"/>
  <c r="K296" i="9"/>
  <c r="M296" i="9" s="1"/>
  <c r="K173" i="9"/>
  <c r="M173" i="9" s="1"/>
  <c r="B339" i="9"/>
  <c r="K183" i="9"/>
  <c r="M183" i="9" s="1"/>
  <c r="D418" i="9"/>
  <c r="D211" i="9"/>
  <c r="K107" i="9"/>
  <c r="M107" i="9" s="1"/>
  <c r="D262" i="9"/>
  <c r="D218" i="9"/>
  <c r="K143" i="9"/>
  <c r="M143" i="9" s="1"/>
  <c r="K146" i="9"/>
  <c r="M146" i="9" s="1"/>
  <c r="C405" i="9"/>
  <c r="B222" i="9"/>
  <c r="D335" i="9"/>
  <c r="D214" i="9"/>
  <c r="D313" i="9"/>
  <c r="D419" i="9"/>
  <c r="C402" i="9"/>
  <c r="B376" i="9"/>
  <c r="K277" i="9"/>
  <c r="M277" i="9" s="1"/>
  <c r="K355" i="9"/>
  <c r="M355" i="9" s="1"/>
  <c r="K196" i="9"/>
  <c r="M196" i="9" s="1"/>
  <c r="C242" i="9"/>
  <c r="C358" i="9"/>
  <c r="C307" i="9"/>
  <c r="B301" i="9"/>
  <c r="B343" i="9"/>
  <c r="B216" i="9"/>
  <c r="B395" i="9"/>
  <c r="B295" i="9"/>
  <c r="B227" i="9"/>
  <c r="B317" i="9"/>
  <c r="B379" i="9"/>
  <c r="B299" i="9"/>
  <c r="B337" i="9"/>
  <c r="B325" i="9"/>
  <c r="C189" i="9"/>
  <c r="C286" i="9"/>
  <c r="C236" i="9"/>
  <c r="C302" i="9"/>
  <c r="C261" i="9"/>
  <c r="C280" i="9"/>
  <c r="C213" i="9"/>
  <c r="C239" i="9"/>
  <c r="C225" i="9"/>
  <c r="C228" i="9"/>
  <c r="C248" i="9"/>
  <c r="C263" i="9"/>
  <c r="C217" i="9"/>
  <c r="C279" i="9"/>
  <c r="C235" i="9"/>
  <c r="C226" i="9"/>
  <c r="C270" i="9"/>
  <c r="C299" i="9"/>
  <c r="C238" i="9"/>
  <c r="C262" i="9"/>
  <c r="C253" i="9"/>
  <c r="C275" i="9"/>
  <c r="C257" i="9"/>
  <c r="C283" i="9"/>
  <c r="C274" i="9"/>
  <c r="C297" i="9"/>
  <c r="C281" i="9"/>
  <c r="C273" i="9"/>
  <c r="C237" i="9"/>
  <c r="C255" i="9"/>
  <c r="C258" i="9"/>
  <c r="C220" i="9"/>
  <c r="C304" i="9"/>
  <c r="C272" i="9"/>
  <c r="C266" i="9"/>
  <c r="C330" i="9"/>
  <c r="C362" i="9"/>
  <c r="C394" i="9"/>
  <c r="C303" i="9"/>
  <c r="C357" i="9"/>
  <c r="C337" i="9"/>
  <c r="C276" i="9"/>
  <c r="C301" i="9"/>
  <c r="C243" i="9"/>
  <c r="C328" i="9"/>
  <c r="C360" i="9"/>
  <c r="C392" i="9"/>
  <c r="C298" i="9"/>
  <c r="C359" i="9"/>
  <c r="C347" i="9"/>
  <c r="C401" i="9"/>
  <c r="C245" i="9"/>
  <c r="C287" i="9"/>
  <c r="C383" i="9"/>
  <c r="C181" i="9"/>
  <c r="C361" i="9"/>
  <c r="C246" i="9"/>
  <c r="C349" i="9"/>
  <c r="C372" i="9"/>
  <c r="C223" i="9"/>
  <c r="C326" i="9"/>
  <c r="C240" i="9"/>
  <c r="C295" i="9"/>
  <c r="C314" i="9"/>
  <c r="C289" i="9"/>
  <c r="C318" i="9"/>
  <c r="C350" i="9"/>
  <c r="C382" i="9"/>
  <c r="C310" i="9"/>
  <c r="C374" i="9"/>
  <c r="C234" i="9"/>
  <c r="C354" i="9"/>
  <c r="C300" i="9"/>
  <c r="C233" i="9"/>
  <c r="C241" i="9"/>
  <c r="C316" i="9"/>
  <c r="C348" i="9"/>
  <c r="C380" i="9"/>
  <c r="C260" i="9"/>
  <c r="C375" i="9"/>
  <c r="C284" i="9"/>
  <c r="C363" i="9"/>
  <c r="C352" i="9"/>
  <c r="C271" i="9"/>
  <c r="C312" i="9"/>
  <c r="C377" i="9"/>
  <c r="C291" i="9"/>
  <c r="C365" i="9"/>
  <c r="C198" i="9"/>
  <c r="C404" i="9"/>
  <c r="C335" i="9"/>
  <c r="C356" i="9"/>
  <c r="C269" i="9"/>
  <c r="C222" i="9"/>
  <c r="C277" i="9"/>
  <c r="C224" i="9"/>
  <c r="C219" i="9"/>
  <c r="C313" i="9"/>
  <c r="C346" i="9"/>
  <c r="C378" i="9"/>
  <c r="C325" i="9"/>
  <c r="C389" i="9"/>
  <c r="C227" i="9"/>
  <c r="C259" i="9"/>
  <c r="C288" i="9"/>
  <c r="C311" i="9"/>
  <c r="C344" i="9"/>
  <c r="C376" i="9"/>
  <c r="C408" i="9"/>
  <c r="C264" i="9"/>
  <c r="C327" i="9"/>
  <c r="C391" i="9"/>
  <c r="C315" i="9"/>
  <c r="C379" i="9"/>
  <c r="C229" i="9"/>
  <c r="C369" i="9"/>
  <c r="C305" i="9"/>
  <c r="C319" i="9"/>
  <c r="C282" i="9"/>
  <c r="C329" i="9"/>
  <c r="C393" i="9"/>
  <c r="C317" i="9"/>
  <c r="C381" i="9"/>
  <c r="C308" i="9"/>
  <c r="C193" i="9"/>
  <c r="C285" i="9"/>
  <c r="C390" i="9"/>
  <c r="C324" i="9"/>
  <c r="C321" i="9"/>
  <c r="C293" i="9"/>
  <c r="C231" i="9"/>
  <c r="C371" i="9"/>
  <c r="C385" i="9"/>
  <c r="D275" i="9"/>
  <c r="K295" i="9"/>
  <c r="M295" i="9" s="1"/>
  <c r="K223" i="9"/>
  <c r="M223" i="9" s="1"/>
  <c r="D353" i="9"/>
  <c r="K148" i="9"/>
  <c r="M148" i="9" s="1"/>
  <c r="D283" i="9"/>
  <c r="D203" i="9"/>
  <c r="K294" i="9"/>
  <c r="M294" i="9" s="1"/>
  <c r="C251" i="9"/>
  <c r="C320" i="9"/>
  <c r="C338" i="9"/>
  <c r="C336" i="9"/>
  <c r="K314" i="9"/>
  <c r="M314" i="9" s="1"/>
  <c r="D338" i="9"/>
  <c r="K298" i="9"/>
  <c r="M298" i="9" s="1"/>
  <c r="D250" i="9"/>
  <c r="C250" i="9"/>
  <c r="C398" i="9"/>
  <c r="C342" i="9"/>
  <c r="C294" i="9"/>
  <c r="C406" i="9"/>
  <c r="C256" i="9"/>
  <c r="C331" i="9"/>
  <c r="C334" i="9"/>
  <c r="C332" i="9"/>
  <c r="C214" i="9"/>
  <c r="C395" i="9"/>
  <c r="C216" i="9"/>
  <c r="C353" i="9"/>
  <c r="C345" i="9"/>
  <c r="C388" i="9"/>
  <c r="C355" i="9"/>
  <c r="C267" i="9"/>
  <c r="C373" i="9"/>
  <c r="K236" i="9"/>
  <c r="M236" i="9" s="1"/>
  <c r="K122" i="9"/>
  <c r="M122" i="9" s="1"/>
  <c r="D146" i="9"/>
  <c r="K226" i="9"/>
  <c r="M226" i="9" s="1"/>
  <c r="D373" i="9"/>
  <c r="K244" i="9"/>
  <c r="M244" i="9" s="1"/>
  <c r="C221" i="9"/>
  <c r="K180" i="9"/>
  <c r="M180" i="9" s="1"/>
  <c r="K220" i="9"/>
  <c r="M220" i="9" s="1"/>
  <c r="D294" i="9"/>
  <c r="D243" i="9"/>
  <c r="K408" i="9"/>
  <c r="M408" i="9" s="1"/>
  <c r="K293" i="9"/>
  <c r="M293" i="9" s="1"/>
  <c r="K310" i="9"/>
  <c r="M310" i="9" s="1"/>
  <c r="D279" i="9"/>
  <c r="C323" i="9"/>
  <c r="C367" i="9"/>
  <c r="C351" i="9"/>
  <c r="K102" i="9"/>
  <c r="M102" i="9" s="1"/>
  <c r="K113" i="9"/>
  <c r="M113" i="9" s="1"/>
  <c r="K212" i="9"/>
  <c r="M212" i="9" s="1"/>
  <c r="K393" i="9"/>
  <c r="M393" i="9" s="1"/>
  <c r="D286" i="9"/>
  <c r="D345" i="9"/>
  <c r="D304" i="9"/>
  <c r="K115" i="9"/>
  <c r="M115" i="9" s="1"/>
  <c r="K368" i="9"/>
  <c r="M368" i="9" s="1"/>
  <c r="D114" i="9"/>
  <c r="K262" i="9"/>
  <c r="M262" i="9" s="1"/>
  <c r="K280" i="9"/>
  <c r="M280" i="9" s="1"/>
  <c r="D267" i="9"/>
  <c r="K345" i="9"/>
  <c r="M345" i="9" s="1"/>
  <c r="K404" i="9"/>
  <c r="M404" i="9" s="1"/>
  <c r="K184" i="9"/>
  <c r="M184" i="9" s="1"/>
  <c r="C230" i="9"/>
  <c r="D222" i="9"/>
  <c r="K117" i="9"/>
  <c r="M117" i="9" s="1"/>
  <c r="K112" i="9"/>
  <c r="M112" i="9" s="1"/>
  <c r="D354" i="9"/>
  <c r="K370" i="9"/>
  <c r="M370" i="9" s="1"/>
  <c r="D105" i="9"/>
  <c r="K376" i="9"/>
  <c r="M376" i="9" s="1"/>
  <c r="K352" i="9"/>
  <c r="M352" i="9" s="1"/>
  <c r="K312" i="9"/>
  <c r="M312" i="9" s="1"/>
  <c r="K151" i="9"/>
  <c r="M151" i="9" s="1"/>
  <c r="K175" i="9"/>
  <c r="M175" i="9" s="1"/>
  <c r="K163" i="9"/>
  <c r="M163" i="9" s="1"/>
  <c r="C254" i="9"/>
  <c r="C366" i="9"/>
  <c r="C322" i="9"/>
  <c r="C278" i="9"/>
  <c r="C364" i="9"/>
  <c r="C232" i="9"/>
  <c r="C343" i="9"/>
  <c r="C386" i="9"/>
  <c r="C409" i="9"/>
  <c r="C340" i="9"/>
  <c r="D341" i="9"/>
  <c r="D72" i="9"/>
  <c r="K203" i="9"/>
  <c r="M203" i="9" s="1"/>
  <c r="D293" i="9"/>
  <c r="K238" i="9"/>
  <c r="M238" i="9" s="1"/>
  <c r="K179" i="9"/>
  <c r="M179" i="9" s="1"/>
  <c r="K135" i="9"/>
  <c r="M135" i="9" s="1"/>
  <c r="K201" i="9"/>
  <c r="M201" i="9" s="1"/>
  <c r="K302" i="9"/>
  <c r="M302" i="9" s="1"/>
  <c r="D357" i="9"/>
  <c r="K252" i="9"/>
  <c r="M252" i="9" s="1"/>
  <c r="D244" i="9"/>
  <c r="K373" i="9"/>
  <c r="M373" i="9" s="1"/>
  <c r="K142" i="9"/>
  <c r="M142" i="9" s="1"/>
  <c r="C387" i="9"/>
  <c r="C399" i="9"/>
  <c r="C341" i="9"/>
  <c r="C400" i="9"/>
  <c r="K154" i="9"/>
  <c r="M154" i="9" s="1"/>
  <c r="K261" i="9"/>
  <c r="M261" i="9" s="1"/>
  <c r="D384" i="9"/>
  <c r="D257" i="9"/>
  <c r="D215" i="9"/>
  <c r="E215" i="9" s="1"/>
  <c r="D237" i="9"/>
  <c r="K96" i="9"/>
  <c r="M96" i="9" s="1"/>
  <c r="D369" i="9"/>
  <c r="K427" i="9"/>
  <c r="M427" i="9" s="1"/>
  <c r="D327" i="9"/>
  <c r="K131" i="9"/>
  <c r="M131" i="9" s="1"/>
  <c r="C249" i="9"/>
  <c r="C370" i="9"/>
  <c r="K265" i="9"/>
  <c r="M265" i="9" s="1"/>
  <c r="D292" i="9"/>
  <c r="D391" i="9"/>
  <c r="D247" i="9"/>
  <c r="K347" i="9"/>
  <c r="M347" i="9" s="1"/>
  <c r="C296" i="9"/>
  <c r="D323" i="9"/>
  <c r="K282" i="9"/>
  <c r="M282" i="9" s="1"/>
  <c r="K217" i="9"/>
  <c r="M217" i="9" s="1"/>
  <c r="K426" i="9"/>
  <c r="M426" i="9" s="1"/>
  <c r="K268" i="9"/>
  <c r="M268" i="9" s="1"/>
  <c r="D135" i="9"/>
  <c r="K332" i="9"/>
  <c r="M332" i="9" s="1"/>
  <c r="K430" i="9"/>
  <c r="M430" i="9" s="1"/>
  <c r="K190" i="9"/>
  <c r="M190" i="9" s="1"/>
  <c r="D204" i="9"/>
  <c r="K106" i="9"/>
  <c r="M106" i="9" s="1"/>
  <c r="K109" i="9"/>
  <c r="M109" i="9" s="1"/>
  <c r="D356" i="9"/>
  <c r="D111" i="9"/>
  <c r="D253" i="9"/>
  <c r="D136" i="9"/>
  <c r="D225" i="9"/>
  <c r="C290" i="9"/>
  <c r="D187" i="9"/>
  <c r="D366" i="9"/>
  <c r="D307" i="9"/>
  <c r="C407" i="9"/>
  <c r="B257" i="9"/>
  <c r="B405" i="9"/>
  <c r="B344" i="9"/>
  <c r="B362" i="9"/>
  <c r="B280" i="9"/>
  <c r="B385" i="9"/>
  <c r="B389" i="9"/>
  <c r="B383" i="9"/>
  <c r="B347" i="9"/>
  <c r="B372" i="9"/>
  <c r="B235" i="9"/>
  <c r="B341" i="9"/>
  <c r="B333" i="9"/>
  <c r="B374" i="9"/>
  <c r="C397" i="9"/>
  <c r="C396" i="9"/>
  <c r="B204" i="9"/>
  <c r="B210" i="9"/>
  <c r="B191" i="9"/>
  <c r="B181" i="9"/>
  <c r="B196" i="9"/>
  <c r="B195" i="9"/>
  <c r="B194" i="9"/>
  <c r="B205" i="9"/>
  <c r="B185" i="9"/>
  <c r="B206" i="9"/>
  <c r="B190" i="9"/>
  <c r="B212" i="9"/>
  <c r="B199" i="9"/>
  <c r="B187" i="9"/>
  <c r="B183" i="9"/>
  <c r="B182" i="9"/>
  <c r="K336" i="9"/>
  <c r="M336" i="9" s="1"/>
  <c r="C191" i="9"/>
  <c r="C135" i="9"/>
  <c r="D423" i="9"/>
  <c r="K176" i="9"/>
  <c r="M176" i="9" s="1"/>
  <c r="D281" i="9"/>
  <c r="K326" i="9"/>
  <c r="M326" i="9" s="1"/>
  <c r="D370" i="9"/>
  <c r="K219" i="9"/>
  <c r="M219" i="9" s="1"/>
  <c r="K259" i="9"/>
  <c r="M259" i="9" s="1"/>
  <c r="K272" i="9"/>
  <c r="M272" i="9" s="1"/>
  <c r="D205" i="9"/>
  <c r="D191" i="9"/>
  <c r="K120" i="9"/>
  <c r="M120" i="9" s="1"/>
  <c r="K337" i="9"/>
  <c r="M337" i="9" s="1"/>
  <c r="K185" i="9"/>
  <c r="M185" i="9" s="1"/>
  <c r="K239" i="9"/>
  <c r="M239" i="9" s="1"/>
  <c r="D234" i="9"/>
  <c r="K423" i="9"/>
  <c r="M423" i="9" s="1"/>
  <c r="K251" i="9"/>
  <c r="M251" i="9" s="1"/>
  <c r="K317" i="9"/>
  <c r="M317" i="9" s="1"/>
  <c r="D192" i="9"/>
  <c r="K170" i="9"/>
  <c r="M170" i="9" s="1"/>
  <c r="K232" i="9"/>
  <c r="M232" i="9" s="1"/>
  <c r="K401" i="9"/>
  <c r="M401" i="9" s="1"/>
  <c r="K363" i="9"/>
  <c r="M363" i="9" s="1"/>
  <c r="K165" i="9"/>
  <c r="M165" i="9" s="1"/>
  <c r="D255" i="9"/>
  <c r="D325" i="9"/>
  <c r="K328" i="9"/>
  <c r="M328" i="9" s="1"/>
  <c r="K348" i="9"/>
  <c r="M348" i="9" s="1"/>
  <c r="K207" i="9"/>
  <c r="M207" i="9" s="1"/>
  <c r="K211" i="9"/>
  <c r="M211" i="9" s="1"/>
  <c r="D387" i="9"/>
  <c r="K353" i="9"/>
  <c r="M353" i="9" s="1"/>
  <c r="K257" i="9"/>
  <c r="M257" i="9" s="1"/>
  <c r="K391" i="9"/>
  <c r="M391" i="9" s="1"/>
  <c r="B200" i="9"/>
  <c r="B193" i="9"/>
  <c r="D263" i="9"/>
  <c r="B186" i="9"/>
  <c r="C190" i="9"/>
  <c r="C212" i="9"/>
  <c r="C195" i="9"/>
  <c r="C204" i="9"/>
  <c r="B188" i="9"/>
  <c r="K377" i="9"/>
  <c r="M377" i="9" s="1"/>
  <c r="B192" i="9"/>
  <c r="B208" i="9"/>
  <c r="B198" i="9"/>
  <c r="B202" i="9"/>
  <c r="B184" i="9"/>
  <c r="B197" i="9"/>
  <c r="B203" i="9"/>
  <c r="C180" i="9"/>
  <c r="C196" i="9"/>
  <c r="C186" i="9"/>
  <c r="C208" i="9"/>
  <c r="C187" i="9"/>
  <c r="C201" i="9"/>
  <c r="C202" i="9"/>
  <c r="C183" i="9"/>
  <c r="C192" i="9"/>
  <c r="C194" i="9"/>
  <c r="C184" i="9"/>
  <c r="C188" i="9"/>
  <c r="C200" i="9"/>
  <c r="C197" i="9"/>
  <c r="C205" i="9"/>
  <c r="C199" i="9"/>
  <c r="C207" i="9"/>
  <c r="C206" i="9"/>
  <c r="C185" i="9"/>
  <c r="C209" i="9"/>
  <c r="C182" i="9"/>
  <c r="C210" i="9"/>
  <c r="B207" i="9"/>
  <c r="B189" i="9"/>
  <c r="E189" i="9" s="1"/>
  <c r="C94" i="9"/>
  <c r="K419" i="9"/>
  <c r="M419" i="9" s="1"/>
  <c r="D282" i="9"/>
  <c r="K319" i="9"/>
  <c r="M319" i="9" s="1"/>
  <c r="D311" i="9"/>
  <c r="D405" i="9"/>
  <c r="B209" i="9"/>
  <c r="C211" i="9"/>
  <c r="K344" i="9"/>
  <c r="M344" i="9" s="1"/>
  <c r="D280" i="9"/>
  <c r="D329" i="9"/>
  <c r="K284" i="9"/>
  <c r="M284" i="9" s="1"/>
  <c r="K275" i="9"/>
  <c r="M275" i="9" s="1"/>
  <c r="D176" i="9"/>
  <c r="K396" i="9"/>
  <c r="M396" i="9" s="1"/>
  <c r="K206" i="9"/>
  <c r="M206" i="9" s="1"/>
  <c r="D165" i="9"/>
  <c r="D92" i="9"/>
  <c r="K242" i="9"/>
  <c r="M242" i="9" s="1"/>
  <c r="K349" i="9"/>
  <c r="M349" i="9" s="1"/>
  <c r="D320" i="9"/>
  <c r="K100" i="9"/>
  <c r="M100" i="9" s="1"/>
  <c r="D155" i="9"/>
  <c r="D412" i="9"/>
  <c r="K111" i="9"/>
  <c r="M111" i="9" s="1"/>
  <c r="K313" i="9"/>
  <c r="M313" i="9" s="1"/>
  <c r="D385" i="9"/>
  <c r="K233" i="9"/>
  <c r="M233" i="9" s="1"/>
  <c r="K124" i="9"/>
  <c r="M124" i="9" s="1"/>
  <c r="D229" i="9"/>
  <c r="D300" i="9"/>
  <c r="K169" i="9"/>
  <c r="M169" i="9" s="1"/>
  <c r="D371" i="9"/>
  <c r="D238" i="9"/>
  <c r="D198" i="9"/>
  <c r="K382" i="9"/>
  <c r="M382" i="9" s="1"/>
  <c r="K133" i="9"/>
  <c r="M133" i="9" s="1"/>
  <c r="K149" i="9"/>
  <c r="M149" i="9" s="1"/>
  <c r="D407" i="9"/>
  <c r="K394" i="9"/>
  <c r="M394" i="9" s="1"/>
  <c r="K126" i="9"/>
  <c r="M126" i="9" s="1"/>
  <c r="C179" i="9"/>
  <c r="K324" i="9"/>
  <c r="M324" i="9" s="1"/>
  <c r="B201" i="9"/>
  <c r="C203" i="9"/>
  <c r="B211" i="9"/>
  <c r="B107" i="9"/>
  <c r="B173" i="9"/>
  <c r="B171" i="9"/>
  <c r="B174" i="9"/>
  <c r="B170" i="9"/>
  <c r="B179" i="9"/>
  <c r="B176" i="9"/>
  <c r="C155" i="9"/>
  <c r="C95" i="9"/>
  <c r="K400" i="9"/>
  <c r="M400" i="9" s="1"/>
  <c r="B178" i="9"/>
  <c r="C177" i="9"/>
  <c r="B177" i="9"/>
  <c r="C174" i="9"/>
  <c r="B175" i="9"/>
  <c r="K216" i="9"/>
  <c r="M216" i="9" s="1"/>
  <c r="K199" i="9"/>
  <c r="M199" i="9" s="1"/>
  <c r="B172" i="9"/>
  <c r="C172" i="9"/>
  <c r="C178" i="9"/>
  <c r="C170" i="9"/>
  <c r="C171" i="9"/>
  <c r="C176" i="9"/>
  <c r="C175" i="9"/>
  <c r="C173" i="9"/>
  <c r="B180" i="9"/>
  <c r="C144" i="9"/>
  <c r="C169" i="9"/>
  <c r="B169" i="9"/>
  <c r="C124" i="9"/>
  <c r="C149" i="9"/>
  <c r="C129" i="9"/>
  <c r="C147" i="9"/>
  <c r="D355" i="9"/>
  <c r="K249" i="9"/>
  <c r="M249" i="9" s="1"/>
  <c r="C113" i="9"/>
  <c r="K283" i="9"/>
  <c r="M283" i="9" s="1"/>
  <c r="C103" i="9"/>
  <c r="C136" i="9"/>
  <c r="C159" i="9"/>
  <c r="J86" i="9"/>
  <c r="J102" i="9"/>
  <c r="J118" i="9"/>
  <c r="J134" i="9"/>
  <c r="J162" i="9"/>
  <c r="J178" i="9"/>
  <c r="J74" i="9"/>
  <c r="J90" i="9"/>
  <c r="J106" i="9"/>
  <c r="J122" i="9"/>
  <c r="J138" i="9"/>
  <c r="J150" i="9"/>
  <c r="J166" i="9"/>
  <c r="J182" i="9"/>
  <c r="J98" i="9"/>
  <c r="J130" i="9"/>
  <c r="J158" i="9"/>
  <c r="J190" i="9"/>
  <c r="J206" i="9"/>
  <c r="J222" i="9"/>
  <c r="J238" i="9"/>
  <c r="J254" i="9"/>
  <c r="J270" i="9"/>
  <c r="J286" i="9"/>
  <c r="J302" i="9"/>
  <c r="J318" i="9"/>
  <c r="J334" i="9"/>
  <c r="J350" i="9"/>
  <c r="J366" i="9"/>
  <c r="J382" i="9"/>
  <c r="J398" i="9"/>
  <c r="J414" i="9"/>
  <c r="J430" i="9"/>
  <c r="J91" i="9"/>
  <c r="J112" i="9"/>
  <c r="J133" i="9"/>
  <c r="J155" i="9"/>
  <c r="J176" i="9"/>
  <c r="J197" i="9"/>
  <c r="J219" i="9"/>
  <c r="J240" i="9"/>
  <c r="J261" i="9"/>
  <c r="J283" i="9"/>
  <c r="J304" i="9"/>
  <c r="J325" i="9"/>
  <c r="J341" i="9"/>
  <c r="J363" i="9"/>
  <c r="J384" i="9"/>
  <c r="J405" i="9"/>
  <c r="J427" i="9"/>
  <c r="J87" i="9"/>
  <c r="J108" i="9"/>
  <c r="J129" i="9"/>
  <c r="J151" i="9"/>
  <c r="J172" i="9"/>
  <c r="J193" i="9"/>
  <c r="J215" i="9"/>
  <c r="J236" i="9"/>
  <c r="J257" i="9"/>
  <c r="J279" i="9"/>
  <c r="J300" i="9"/>
  <c r="J321" i="9"/>
  <c r="J343" i="9"/>
  <c r="J359" i="9"/>
  <c r="J380" i="9"/>
  <c r="J401" i="9"/>
  <c r="J423" i="9"/>
  <c r="J77" i="9"/>
  <c r="J99" i="9"/>
  <c r="J120" i="9"/>
  <c r="J141" i="9"/>
  <c r="J163" i="9"/>
  <c r="J184" i="9"/>
  <c r="J205" i="9"/>
  <c r="J221" i="9"/>
  <c r="J243" i="9"/>
  <c r="J264" i="9"/>
  <c r="J285" i="9"/>
  <c r="J307" i="9"/>
  <c r="J328" i="9"/>
  <c r="J349" i="9"/>
  <c r="J371" i="9"/>
  <c r="J392" i="9"/>
  <c r="J424" i="9"/>
  <c r="J127" i="9"/>
  <c r="J78" i="9"/>
  <c r="J110" i="9"/>
  <c r="J142" i="9"/>
  <c r="J170" i="9"/>
  <c r="J194" i="9"/>
  <c r="J210" i="9"/>
  <c r="J226" i="9"/>
  <c r="J242" i="9"/>
  <c r="J258" i="9"/>
  <c r="J274" i="9"/>
  <c r="J290" i="9"/>
  <c r="J306" i="9"/>
  <c r="J322" i="9"/>
  <c r="J338" i="9"/>
  <c r="J354" i="9"/>
  <c r="J370" i="9"/>
  <c r="J386" i="9"/>
  <c r="J402" i="9"/>
  <c r="J418" i="9"/>
  <c r="J75" i="9"/>
  <c r="J96" i="9"/>
  <c r="J117" i="9"/>
  <c r="J139" i="9"/>
  <c r="J160" i="9"/>
  <c r="J181" i="9"/>
  <c r="J203" i="9"/>
  <c r="J224" i="9"/>
  <c r="J245" i="9"/>
  <c r="J267" i="9"/>
  <c r="J288" i="9"/>
  <c r="J309" i="9"/>
  <c r="J331" i="9"/>
  <c r="J347" i="9"/>
  <c r="J368" i="9"/>
  <c r="J389" i="9"/>
  <c r="J411" i="9"/>
  <c r="J408" i="9"/>
  <c r="J92" i="9"/>
  <c r="J113" i="9"/>
  <c r="J135" i="9"/>
  <c r="J156" i="9"/>
  <c r="J177" i="9"/>
  <c r="J199" i="9"/>
  <c r="J220" i="9"/>
  <c r="J241" i="9"/>
  <c r="J263" i="9"/>
  <c r="J284" i="9"/>
  <c r="J305" i="9"/>
  <c r="J327" i="9"/>
  <c r="J348" i="9"/>
  <c r="J364" i="9"/>
  <c r="J385" i="9"/>
  <c r="J407" i="9"/>
  <c r="J428" i="9"/>
  <c r="J83" i="9"/>
  <c r="J104" i="9"/>
  <c r="J125" i="9"/>
  <c r="J147" i="9"/>
  <c r="J168" i="9"/>
  <c r="J189" i="9"/>
  <c r="J211" i="9"/>
  <c r="J227" i="9"/>
  <c r="J248" i="9"/>
  <c r="J269" i="9"/>
  <c r="J291" i="9"/>
  <c r="J312" i="9"/>
  <c r="J333" i="9"/>
  <c r="J355" i="9"/>
  <c r="J376" i="9"/>
  <c r="J397" i="9"/>
  <c r="J429" i="9"/>
  <c r="J148" i="9"/>
  <c r="J233" i="9"/>
  <c r="J319" i="9"/>
  <c r="J383" i="9"/>
  <c r="J111" i="9"/>
  <c r="J196" i="9"/>
  <c r="J281" i="9"/>
  <c r="J367" i="9"/>
  <c r="J207" i="9"/>
  <c r="J335" i="9"/>
  <c r="J95" i="9"/>
  <c r="J180" i="9"/>
  <c r="J265" i="9"/>
  <c r="J351" i="9"/>
  <c r="J79" i="9"/>
  <c r="J185" i="9"/>
  <c r="J356" i="9"/>
  <c r="J82" i="9"/>
  <c r="J114" i="9"/>
  <c r="J146" i="9"/>
  <c r="J174" i="9"/>
  <c r="J198" i="9"/>
  <c r="J214" i="9"/>
  <c r="J230" i="9"/>
  <c r="J246" i="9"/>
  <c r="J262" i="9"/>
  <c r="J278" i="9"/>
  <c r="J294" i="9"/>
  <c r="J310" i="9"/>
  <c r="J326" i="9"/>
  <c r="J342" i="9"/>
  <c r="J358" i="9"/>
  <c r="J374" i="9"/>
  <c r="J390" i="9"/>
  <c r="J406" i="9"/>
  <c r="J422" i="9"/>
  <c r="J80" i="9"/>
  <c r="J101" i="9"/>
  <c r="J123" i="9"/>
  <c r="J144" i="9"/>
  <c r="J165" i="9"/>
  <c r="J187" i="9"/>
  <c r="J208" i="9"/>
  <c r="J229" i="9"/>
  <c r="J251" i="9"/>
  <c r="J272" i="9"/>
  <c r="J293" i="9"/>
  <c r="J315" i="9"/>
  <c r="J352" i="9"/>
  <c r="J373" i="9"/>
  <c r="J395" i="9"/>
  <c r="J416" i="9"/>
  <c r="J76" i="9"/>
  <c r="J97" i="9"/>
  <c r="J119" i="9"/>
  <c r="J140" i="9"/>
  <c r="J161" i="9"/>
  <c r="J183" i="9"/>
  <c r="J204" i="9"/>
  <c r="J225" i="9"/>
  <c r="J247" i="9"/>
  <c r="J268" i="9"/>
  <c r="J289" i="9"/>
  <c r="J311" i="9"/>
  <c r="J332" i="9"/>
  <c r="J369" i="9"/>
  <c r="J391" i="9"/>
  <c r="J412" i="9"/>
  <c r="J413" i="9"/>
  <c r="J88" i="9"/>
  <c r="J109" i="9"/>
  <c r="J131" i="9"/>
  <c r="J152" i="9"/>
  <c r="J173" i="9"/>
  <c r="J195" i="9"/>
  <c r="J216" i="9"/>
  <c r="J232" i="9"/>
  <c r="J253" i="9"/>
  <c r="J275" i="9"/>
  <c r="J296" i="9"/>
  <c r="J317" i="9"/>
  <c r="J339" i="9"/>
  <c r="J360" i="9"/>
  <c r="J381" i="9"/>
  <c r="J403" i="9"/>
  <c r="J84" i="9"/>
  <c r="J169" i="9"/>
  <c r="J255" i="9"/>
  <c r="J404" i="9"/>
  <c r="J132" i="9"/>
  <c r="J217" i="9"/>
  <c r="J303" i="9"/>
  <c r="J388" i="9"/>
  <c r="J249" i="9"/>
  <c r="J377" i="9"/>
  <c r="J116" i="9"/>
  <c r="J201" i="9"/>
  <c r="J287" i="9"/>
  <c r="J372" i="9"/>
  <c r="J100" i="9"/>
  <c r="J228" i="9"/>
  <c r="J399" i="9"/>
  <c r="J186" i="9"/>
  <c r="J250" i="9"/>
  <c r="J314" i="9"/>
  <c r="J378" i="9"/>
  <c r="J85" i="9"/>
  <c r="J171" i="9"/>
  <c r="J256" i="9"/>
  <c r="J336" i="9"/>
  <c r="J421" i="9"/>
  <c r="J145" i="9"/>
  <c r="J231" i="9"/>
  <c r="J316" i="9"/>
  <c r="J396" i="9"/>
  <c r="J115" i="9"/>
  <c r="J200" i="9"/>
  <c r="J280" i="9"/>
  <c r="J365" i="9"/>
  <c r="J191" i="9"/>
  <c r="J340" i="9"/>
  <c r="J153" i="9"/>
  <c r="J324" i="9"/>
  <c r="J137" i="9"/>
  <c r="J308" i="9"/>
  <c r="J121" i="9"/>
  <c r="J426" i="9"/>
  <c r="J94" i="9"/>
  <c r="J202" i="9"/>
  <c r="J266" i="9"/>
  <c r="J330" i="9"/>
  <c r="J394" i="9"/>
  <c r="J107" i="9"/>
  <c r="J192" i="9"/>
  <c r="J277" i="9"/>
  <c r="J357" i="9"/>
  <c r="J81" i="9"/>
  <c r="J167" i="9"/>
  <c r="J252" i="9"/>
  <c r="J337" i="9"/>
  <c r="J417" i="9"/>
  <c r="J136" i="9"/>
  <c r="J301" i="9"/>
  <c r="J387" i="9"/>
  <c r="J212" i="9"/>
  <c r="J361" i="9"/>
  <c r="J175" i="9"/>
  <c r="J345" i="9"/>
  <c r="J292" i="9"/>
  <c r="J159" i="9"/>
  <c r="J329" i="9"/>
  <c r="J164" i="9"/>
  <c r="J154" i="9"/>
  <c r="J298" i="9"/>
  <c r="J149" i="9"/>
  <c r="J320" i="9"/>
  <c r="J124" i="9"/>
  <c r="J375" i="9"/>
  <c r="J179" i="9"/>
  <c r="J344" i="9"/>
  <c r="J297" i="9"/>
  <c r="J260" i="9"/>
  <c r="J73" i="9"/>
  <c r="J244" i="9"/>
  <c r="J415" i="9"/>
  <c r="J313" i="9"/>
  <c r="J126" i="9"/>
  <c r="J218" i="9"/>
  <c r="J282" i="9"/>
  <c r="J346" i="9"/>
  <c r="J410" i="9"/>
  <c r="J128" i="9"/>
  <c r="J213" i="9"/>
  <c r="J299" i="9"/>
  <c r="J379" i="9"/>
  <c r="J103" i="9"/>
  <c r="J188" i="9"/>
  <c r="J273" i="9"/>
  <c r="J353" i="9"/>
  <c r="J72" i="9"/>
  <c r="J157" i="9"/>
  <c r="J237" i="9"/>
  <c r="J323" i="9"/>
  <c r="J419" i="9"/>
  <c r="J276" i="9"/>
  <c r="J425" i="9"/>
  <c r="J239" i="9"/>
  <c r="J409" i="9"/>
  <c r="J420" i="9"/>
  <c r="J223" i="9"/>
  <c r="J393" i="9"/>
  <c r="J271" i="9"/>
  <c r="J234" i="9"/>
  <c r="J362" i="9"/>
  <c r="J235" i="9"/>
  <c r="J400" i="9"/>
  <c r="J209" i="9"/>
  <c r="J295" i="9"/>
  <c r="J93" i="9"/>
  <c r="J259" i="9"/>
  <c r="J105" i="9"/>
  <c r="J89" i="9"/>
  <c r="J143" i="9"/>
  <c r="B132" i="9"/>
  <c r="B156" i="9"/>
  <c r="B125" i="9"/>
  <c r="B163" i="9"/>
  <c r="B143" i="9"/>
  <c r="K157" i="9"/>
  <c r="M157" i="9" s="1"/>
  <c r="C118" i="9"/>
  <c r="C140" i="9"/>
  <c r="C156" i="9"/>
  <c r="C166" i="9"/>
  <c r="C138" i="9"/>
  <c r="C131" i="9"/>
  <c r="C163" i="9"/>
  <c r="C114" i="9"/>
  <c r="C168" i="9"/>
  <c r="C132" i="9"/>
  <c r="C126" i="9"/>
  <c r="C165" i="9"/>
  <c r="K402" i="9"/>
  <c r="M402" i="9" s="1"/>
  <c r="C100" i="9"/>
  <c r="C145" i="9"/>
  <c r="C139" i="9"/>
  <c r="C97" i="9"/>
  <c r="C150" i="9"/>
  <c r="C119" i="9"/>
  <c r="C109" i="9"/>
  <c r="C148" i="9"/>
  <c r="C112" i="9"/>
  <c r="C154" i="9"/>
  <c r="C102" i="9"/>
  <c r="C128" i="9"/>
  <c r="C105" i="9"/>
  <c r="C130" i="9"/>
  <c r="C120" i="9"/>
  <c r="C153" i="9"/>
  <c r="C101" i="9"/>
  <c r="C158" i="9"/>
  <c r="C98" i="9"/>
  <c r="C151" i="9"/>
  <c r="C142" i="9"/>
  <c r="K134" i="9"/>
  <c r="M134" i="9" s="1"/>
  <c r="C164" i="9"/>
  <c r="C137" i="9"/>
  <c r="C162" i="9"/>
  <c r="C134" i="9"/>
  <c r="C106" i="9"/>
  <c r="C121" i="9"/>
  <c r="C133" i="9"/>
  <c r="C125" i="9"/>
  <c r="C146" i="9"/>
  <c r="C152" i="9"/>
  <c r="B119" i="9"/>
  <c r="B120" i="9"/>
  <c r="C143" i="9"/>
  <c r="B117" i="9"/>
  <c r="C117" i="9"/>
  <c r="C157" i="9"/>
  <c r="C141" i="9"/>
  <c r="B104" i="9"/>
  <c r="C108" i="9"/>
  <c r="B140" i="9"/>
  <c r="B151" i="9"/>
  <c r="B159" i="9"/>
  <c r="B121" i="9"/>
  <c r="D402" i="9"/>
  <c r="D298" i="9"/>
  <c r="K198" i="9"/>
  <c r="M198" i="9" s="1"/>
  <c r="K331" i="9"/>
  <c r="M331" i="9" s="1"/>
  <c r="B96" i="9"/>
  <c r="B103" i="9"/>
  <c r="B142" i="9"/>
  <c r="C104" i="9"/>
  <c r="B101" i="9"/>
  <c r="B133" i="9"/>
  <c r="C96" i="9"/>
  <c r="C167" i="9"/>
  <c r="C123" i="9"/>
  <c r="C99" i="9"/>
  <c r="B149" i="9"/>
  <c r="B147" i="9"/>
  <c r="B152" i="9"/>
  <c r="B114" i="9"/>
  <c r="B100" i="9"/>
  <c r="B137" i="9"/>
  <c r="B127" i="9"/>
  <c r="B144" i="9"/>
  <c r="B110" i="9"/>
  <c r="B128" i="9"/>
  <c r="B166" i="9"/>
  <c r="B138" i="9"/>
  <c r="B136" i="9"/>
  <c r="B109" i="9"/>
  <c r="B161" i="9"/>
  <c r="B131" i="9"/>
  <c r="B155" i="9"/>
  <c r="B105" i="9"/>
  <c r="B116" i="9"/>
  <c r="B130" i="9"/>
  <c r="B122" i="9"/>
  <c r="B112" i="9"/>
  <c r="B97" i="9"/>
  <c r="B145" i="9"/>
  <c r="B135" i="9"/>
  <c r="B141" i="9"/>
  <c r="B139" i="9"/>
  <c r="B134" i="9"/>
  <c r="B158" i="9"/>
  <c r="B102" i="9"/>
  <c r="B148" i="9"/>
  <c r="B167" i="9"/>
  <c r="B124" i="9"/>
  <c r="B108" i="9"/>
  <c r="B160" i="9"/>
  <c r="B106" i="9"/>
  <c r="B154" i="9"/>
  <c r="B126" i="9"/>
  <c r="B168" i="9"/>
  <c r="B123" i="9"/>
  <c r="B113" i="9"/>
  <c r="B99" i="9"/>
  <c r="B146" i="9"/>
  <c r="B111" i="9"/>
  <c r="B129" i="9"/>
  <c r="B95" i="9"/>
  <c r="B162" i="9"/>
  <c r="B153" i="9"/>
  <c r="B118" i="9"/>
  <c r="B150" i="9"/>
  <c r="D359" i="9"/>
  <c r="D260" i="9"/>
  <c r="C115" i="9"/>
  <c r="C122" i="9"/>
  <c r="D343" i="9"/>
  <c r="D424" i="9"/>
  <c r="K413" i="9"/>
  <c r="M413" i="9" s="1"/>
  <c r="K129" i="9"/>
  <c r="M129" i="9" s="1"/>
  <c r="B157" i="9"/>
  <c r="C160" i="9"/>
  <c r="C127" i="9"/>
  <c r="B115" i="9"/>
  <c r="C116" i="9"/>
  <c r="B165" i="9"/>
  <c r="C111" i="9"/>
  <c r="B164" i="9"/>
  <c r="B98" i="9"/>
  <c r="C161" i="9"/>
  <c r="C110" i="9"/>
  <c r="B76" i="9"/>
  <c r="B87" i="9"/>
  <c r="B81" i="9"/>
  <c r="B78" i="9"/>
  <c r="B93" i="9"/>
  <c r="B82" i="9"/>
  <c r="B92" i="9"/>
  <c r="B88" i="9"/>
  <c r="B71" i="9"/>
  <c r="B77" i="9"/>
  <c r="B85" i="9"/>
  <c r="B74" i="9"/>
  <c r="B90" i="9"/>
  <c r="B72" i="9"/>
  <c r="B83" i="9"/>
  <c r="B94" i="9"/>
  <c r="B89" i="9"/>
  <c r="B79" i="9"/>
  <c r="B86" i="9"/>
  <c r="B84" i="9"/>
  <c r="B91" i="9"/>
  <c r="B80" i="9"/>
  <c r="B73" i="9"/>
  <c r="B75" i="9"/>
  <c r="M71" i="9" l="1"/>
  <c r="N71" i="9" s="1"/>
  <c r="O71" i="9" s="1"/>
  <c r="L278" i="9"/>
  <c r="L134" i="9"/>
  <c r="L100" i="9"/>
  <c r="L419" i="9"/>
  <c r="L257" i="9"/>
  <c r="L251" i="9"/>
  <c r="L135" i="9"/>
  <c r="L370" i="9"/>
  <c r="L113" i="9"/>
  <c r="L180" i="9"/>
  <c r="L295" i="9"/>
  <c r="L107" i="9"/>
  <c r="L409" i="9"/>
  <c r="L266" i="9"/>
  <c r="L130" i="9"/>
  <c r="L234" i="9"/>
  <c r="L387" i="9"/>
  <c r="L141" i="9"/>
  <c r="L361" i="9"/>
  <c r="L399" i="9"/>
  <c r="L231" i="9"/>
  <c r="L320" i="9"/>
  <c r="L307" i="9"/>
  <c r="L288" i="9"/>
  <c r="L346" i="9"/>
  <c r="L290" i="9"/>
  <c r="L389" i="9"/>
  <c r="L188" i="9"/>
  <c r="L227" i="9"/>
  <c r="L95" i="9"/>
  <c r="L342" i="9"/>
  <c r="L101" i="9"/>
  <c r="L390" i="9"/>
  <c r="L418" i="9"/>
  <c r="L197" i="9"/>
  <c r="L412" i="9"/>
  <c r="L216" i="9"/>
  <c r="L154" i="9"/>
  <c r="L312" i="9"/>
  <c r="L408" i="9"/>
  <c r="L146" i="9"/>
  <c r="L425" i="9"/>
  <c r="L255" i="9"/>
  <c r="L237" i="9"/>
  <c r="L369" i="9"/>
  <c r="L325" i="9"/>
  <c r="L379" i="9"/>
  <c r="L104" i="9"/>
  <c r="L240" i="9"/>
  <c r="L381" i="9"/>
  <c r="L377" i="9"/>
  <c r="L165" i="9"/>
  <c r="L337" i="9"/>
  <c r="L326" i="9"/>
  <c r="L190" i="9"/>
  <c r="L163" i="9"/>
  <c r="L143" i="9"/>
  <c r="L164" i="9"/>
  <c r="L114" i="9"/>
  <c r="L119" i="9"/>
  <c r="L374" i="9"/>
  <c r="L182" i="9"/>
  <c r="L289" i="9"/>
  <c r="L246" i="9"/>
  <c r="L253" i="9"/>
  <c r="L121" i="9"/>
  <c r="L329" i="9"/>
  <c r="L358" i="9"/>
  <c r="L72" i="9"/>
  <c r="L303" i="9"/>
  <c r="L421" i="9"/>
  <c r="L98" i="9"/>
  <c r="L105" i="9"/>
  <c r="L191" i="9"/>
  <c r="L267" i="9"/>
  <c r="L413" i="9"/>
  <c r="N400" i="9"/>
  <c r="O400" i="9" s="1"/>
  <c r="L400" i="9"/>
  <c r="L169" i="9"/>
  <c r="N206" i="9"/>
  <c r="O206" i="9" s="1"/>
  <c r="L206" i="9"/>
  <c r="L319" i="9"/>
  <c r="L363" i="9"/>
  <c r="L120" i="9"/>
  <c r="L109" i="9"/>
  <c r="L131" i="9"/>
  <c r="N302" i="9"/>
  <c r="O302" i="9" s="1"/>
  <c r="L302" i="9"/>
  <c r="L175" i="9"/>
  <c r="L280" i="9"/>
  <c r="L122" i="9"/>
  <c r="N355" i="9"/>
  <c r="O355" i="9" s="1"/>
  <c r="L355" i="9"/>
  <c r="L296" i="9"/>
  <c r="L276" i="9"/>
  <c r="L335" i="9"/>
  <c r="L241" i="9"/>
  <c r="L305" i="9"/>
  <c r="L301" i="9"/>
  <c r="L247" i="9"/>
  <c r="N221" i="9"/>
  <c r="O221" i="9" s="1"/>
  <c r="L221" i="9"/>
  <c r="L299" i="9"/>
  <c r="L365" i="9"/>
  <c r="L338" i="9"/>
  <c r="L200" i="9"/>
  <c r="L125" i="9"/>
  <c r="N110" i="9"/>
  <c r="O110" i="9" s="1"/>
  <c r="L110" i="9"/>
  <c r="L357" i="9"/>
  <c r="L263" i="9"/>
  <c r="L229" i="9"/>
  <c r="L395" i="9"/>
  <c r="L153" i="9"/>
  <c r="N309" i="9"/>
  <c r="O309" i="9" s="1"/>
  <c r="L309" i="9"/>
  <c r="L213" i="9"/>
  <c r="N297" i="9"/>
  <c r="O297" i="9" s="1"/>
  <c r="L297" i="9"/>
  <c r="L372" i="9"/>
  <c r="N366" i="9"/>
  <c r="O366" i="9" s="1"/>
  <c r="L366" i="9"/>
  <c r="L392" i="9"/>
  <c r="L415" i="9"/>
  <c r="L407" i="9"/>
  <c r="N420" i="9"/>
  <c r="O420" i="9" s="1"/>
  <c r="L420" i="9"/>
  <c r="L281" i="9"/>
  <c r="N380" i="9"/>
  <c r="O380" i="9" s="1"/>
  <c r="L380" i="9"/>
  <c r="L80" i="9"/>
  <c r="N79" i="9"/>
  <c r="O79" i="9" s="1"/>
  <c r="L79" i="9"/>
  <c r="L187" i="9"/>
  <c r="L388" i="9"/>
  <c r="L360" i="9"/>
  <c r="L140" i="9"/>
  <c r="L83" i="9"/>
  <c r="L271" i="9"/>
  <c r="L243" i="9"/>
  <c r="N248" i="9"/>
  <c r="O248" i="9" s="1"/>
  <c r="L248" i="9"/>
  <c r="L364" i="9"/>
  <c r="L304" i="9"/>
  <c r="L160" i="9"/>
  <c r="N215" i="9"/>
  <c r="O215" i="9" s="1"/>
  <c r="L215" i="9"/>
  <c r="L81" i="9"/>
  <c r="N172" i="9"/>
  <c r="O172" i="9" s="1"/>
  <c r="L172" i="9"/>
  <c r="L428" i="9"/>
  <c r="L411" i="9"/>
  <c r="L73" i="9"/>
  <c r="N339" i="9"/>
  <c r="O339" i="9" s="1"/>
  <c r="L339" i="9"/>
  <c r="L350" i="9"/>
  <c r="L82" i="9"/>
  <c r="L149" i="9"/>
  <c r="L313" i="9"/>
  <c r="L207" i="9"/>
  <c r="L232" i="9"/>
  <c r="L185" i="9"/>
  <c r="N282" i="9"/>
  <c r="O282" i="9" s="1"/>
  <c r="L282" i="9"/>
  <c r="L427" i="9"/>
  <c r="L252" i="9"/>
  <c r="L203" i="9"/>
  <c r="N345" i="9"/>
  <c r="O345" i="9" s="1"/>
  <c r="L345" i="9"/>
  <c r="L226" i="9"/>
  <c r="N144" i="9"/>
  <c r="O144" i="9" s="1"/>
  <c r="L144" i="9"/>
  <c r="L168" i="9"/>
  <c r="N162" i="9"/>
  <c r="O162" i="9" s="1"/>
  <c r="L162" i="9"/>
  <c r="L321" i="9"/>
  <c r="L397" i="9"/>
  <c r="L354" i="9"/>
  <c r="N204" i="9"/>
  <c r="O204" i="9" s="1"/>
  <c r="L204" i="9"/>
  <c r="L315" i="9"/>
  <c r="L306" i="9"/>
  <c r="L398" i="9"/>
  <c r="N116" i="9"/>
  <c r="O116" i="9" s="1"/>
  <c r="L116" i="9"/>
  <c r="L245" i="9"/>
  <c r="N287" i="9"/>
  <c r="O287" i="9" s="1"/>
  <c r="L287" i="9"/>
  <c r="L158" i="9"/>
  <c r="N359" i="9"/>
  <c r="O359" i="9" s="1"/>
  <c r="L359" i="9"/>
  <c r="L171" i="9"/>
  <c r="L123" i="9"/>
  <c r="L78" i="9"/>
  <c r="N181" i="9"/>
  <c r="O181" i="9" s="1"/>
  <c r="L181" i="9"/>
  <c r="L194" i="9"/>
  <c r="L92" i="9"/>
  <c r="L89" i="9"/>
  <c r="L422" i="9"/>
  <c r="L90" i="9"/>
  <c r="N94" i="9"/>
  <c r="O94" i="9" s="1"/>
  <c r="L94" i="9"/>
  <c r="L210" i="9"/>
  <c r="L129" i="9"/>
  <c r="L331" i="9"/>
  <c r="N249" i="9"/>
  <c r="O249" i="9" s="1"/>
  <c r="L249" i="9"/>
  <c r="L126" i="9"/>
  <c r="L133" i="9"/>
  <c r="L124" i="9"/>
  <c r="N111" i="9"/>
  <c r="O111" i="9" s="1"/>
  <c r="L111" i="9"/>
  <c r="L275" i="9"/>
  <c r="L344" i="9"/>
  <c r="L353" i="9"/>
  <c r="L348" i="9"/>
  <c r="L170" i="9"/>
  <c r="N423" i="9"/>
  <c r="O423" i="9" s="1"/>
  <c r="L423" i="9"/>
  <c r="L272" i="9"/>
  <c r="N268" i="9"/>
  <c r="O268" i="9" s="1"/>
  <c r="L268" i="9"/>
  <c r="L142" i="9"/>
  <c r="N179" i="9"/>
  <c r="O179" i="9" s="1"/>
  <c r="L179" i="9"/>
  <c r="L352" i="9"/>
  <c r="N368" i="9"/>
  <c r="O368" i="9" s="1"/>
  <c r="L368" i="9"/>
  <c r="L102" i="9"/>
  <c r="L314" i="9"/>
  <c r="L148" i="9"/>
  <c r="N196" i="9"/>
  <c r="O196" i="9" s="1"/>
  <c r="L196" i="9"/>
  <c r="L173" i="9"/>
  <c r="N343" i="9"/>
  <c r="O343" i="9" s="1"/>
  <c r="L343" i="9"/>
  <c r="L270" i="9"/>
  <c r="L222" i="9"/>
  <c r="L235" i="9"/>
  <c r="N195" i="9"/>
  <c r="O195" i="9" s="1"/>
  <c r="L195" i="9"/>
  <c r="L202" i="9"/>
  <c r="L330" i="9"/>
  <c r="L108" i="9"/>
  <c r="N209" i="9"/>
  <c r="O209" i="9" s="1"/>
  <c r="L209" i="9"/>
  <c r="L334" i="9"/>
  <c r="N367" i="9"/>
  <c r="O367" i="9" s="1"/>
  <c r="L367" i="9"/>
  <c r="L322" i="9"/>
  <c r="N384" i="9"/>
  <c r="O384" i="9" s="1"/>
  <c r="L384" i="9"/>
  <c r="L127" i="9"/>
  <c r="L375" i="9"/>
  <c r="L218" i="9"/>
  <c r="N137" i="9"/>
  <c r="O137" i="9" s="1"/>
  <c r="L137" i="9"/>
  <c r="L417" i="9"/>
  <c r="N341" i="9"/>
  <c r="O341" i="9" s="1"/>
  <c r="L341" i="9"/>
  <c r="L274" i="9"/>
  <c r="L311" i="9"/>
  <c r="L424" i="9"/>
  <c r="N178" i="9"/>
  <c r="O178" i="9" s="1"/>
  <c r="L178" i="9"/>
  <c r="L256" i="9"/>
  <c r="N147" i="9"/>
  <c r="O147" i="9" s="1"/>
  <c r="L147" i="9"/>
  <c r="L292" i="9"/>
  <c r="N258" i="9"/>
  <c r="O258" i="9" s="1"/>
  <c r="L258" i="9"/>
  <c r="L327" i="9"/>
  <c r="N138" i="9"/>
  <c r="O138" i="9" s="1"/>
  <c r="L138" i="9"/>
  <c r="L316" i="9"/>
  <c r="N286" i="9"/>
  <c r="O286" i="9" s="1"/>
  <c r="L286" i="9"/>
  <c r="L91" i="9"/>
  <c r="N132" i="9"/>
  <c r="O132" i="9" s="1"/>
  <c r="L132" i="9"/>
  <c r="L228" i="9"/>
  <c r="L84" i="9"/>
  <c r="L273" i="9"/>
  <c r="L85" i="9"/>
  <c r="L139" i="9"/>
  <c r="N86" i="9"/>
  <c r="O86" i="9" s="1"/>
  <c r="L86" i="9"/>
  <c r="L88" i="9"/>
  <c r="N198" i="9"/>
  <c r="O198" i="9" s="1"/>
  <c r="L198" i="9"/>
  <c r="L402" i="9"/>
  <c r="L394" i="9"/>
  <c r="L382" i="9"/>
  <c r="N233" i="9"/>
  <c r="O233" i="9" s="1"/>
  <c r="L233" i="9"/>
  <c r="N349" i="9"/>
  <c r="O349" i="9" s="1"/>
  <c r="L349" i="9"/>
  <c r="L284" i="9"/>
  <c r="L328" i="9"/>
  <c r="N259" i="9"/>
  <c r="O259" i="9" s="1"/>
  <c r="L259" i="9"/>
  <c r="L430" i="9"/>
  <c r="L426" i="9"/>
  <c r="L96" i="9"/>
  <c r="N373" i="9"/>
  <c r="O373" i="9" s="1"/>
  <c r="L373" i="9"/>
  <c r="L238" i="9"/>
  <c r="N376" i="9"/>
  <c r="O376" i="9" s="1"/>
  <c r="L376" i="9"/>
  <c r="L112" i="9"/>
  <c r="N184" i="9"/>
  <c r="O184" i="9" s="1"/>
  <c r="L184" i="9"/>
  <c r="L115" i="9"/>
  <c r="L393" i="9"/>
  <c r="L310" i="9"/>
  <c r="N244" i="9"/>
  <c r="O244" i="9" s="1"/>
  <c r="L244" i="9"/>
  <c r="L294" i="9"/>
  <c r="N157" i="9"/>
  <c r="O157" i="9" s="1"/>
  <c r="L157" i="9"/>
  <c r="L283" i="9"/>
  <c r="N199" i="9"/>
  <c r="O199" i="9" s="1"/>
  <c r="L199" i="9"/>
  <c r="L324" i="9"/>
  <c r="N242" i="9"/>
  <c r="O242" i="9" s="1"/>
  <c r="L242" i="9"/>
  <c r="L396" i="9"/>
  <c r="L391" i="9"/>
  <c r="L211" i="9"/>
  <c r="N401" i="9"/>
  <c r="O401" i="9" s="1"/>
  <c r="L401" i="9"/>
  <c r="L317" i="9"/>
  <c r="N239" i="9"/>
  <c r="O239" i="9" s="1"/>
  <c r="L239" i="9"/>
  <c r="L219" i="9"/>
  <c r="N176" i="9"/>
  <c r="O176" i="9" s="1"/>
  <c r="L176" i="9"/>
  <c r="N336" i="9"/>
  <c r="O336" i="9" s="1"/>
  <c r="L336" i="9"/>
  <c r="N106" i="9"/>
  <c r="O106" i="9" s="1"/>
  <c r="L106" i="9"/>
  <c r="L332" i="9"/>
  <c r="N217" i="9"/>
  <c r="O217" i="9" s="1"/>
  <c r="L217" i="9"/>
  <c r="L347" i="9"/>
  <c r="N265" i="9"/>
  <c r="O265" i="9" s="1"/>
  <c r="L265" i="9"/>
  <c r="L261" i="9"/>
  <c r="L201" i="9"/>
  <c r="L151" i="9"/>
  <c r="N117" i="9"/>
  <c r="O117" i="9" s="1"/>
  <c r="L117" i="9"/>
  <c r="L404" i="9"/>
  <c r="N262" i="9"/>
  <c r="O262" i="9" s="1"/>
  <c r="L262" i="9"/>
  <c r="L212" i="9"/>
  <c r="N293" i="9"/>
  <c r="O293" i="9" s="1"/>
  <c r="L293" i="9"/>
  <c r="L220" i="9"/>
  <c r="N236" i="9"/>
  <c r="O236" i="9" s="1"/>
  <c r="L236" i="9"/>
  <c r="L298" i="9"/>
  <c r="L223" i="9"/>
  <c r="N277" i="9"/>
  <c r="O277" i="9" s="1"/>
  <c r="L277" i="9"/>
  <c r="N183" i="9"/>
  <c r="O183" i="9" s="1"/>
  <c r="L183" i="9"/>
  <c r="L155" i="9"/>
  <c r="N167" i="9"/>
  <c r="O167" i="9" s="1"/>
  <c r="L167" i="9"/>
  <c r="N406" i="9"/>
  <c r="O406" i="9" s="1"/>
  <c r="L406" i="9"/>
  <c r="N260" i="9"/>
  <c r="O260" i="9" s="1"/>
  <c r="L260" i="9"/>
  <c r="L429" i="9"/>
  <c r="N269" i="9"/>
  <c r="O269" i="9" s="1"/>
  <c r="L269" i="9"/>
  <c r="N159" i="9"/>
  <c r="O159" i="9" s="1"/>
  <c r="L159" i="9"/>
  <c r="N254" i="9"/>
  <c r="O254" i="9" s="1"/>
  <c r="L254" i="9"/>
  <c r="L356" i="9"/>
  <c r="N414" i="9"/>
  <c r="O414" i="9" s="1"/>
  <c r="L414" i="9"/>
  <c r="L208" i="9"/>
  <c r="N285" i="9"/>
  <c r="O285" i="9" s="1"/>
  <c r="L285" i="9"/>
  <c r="N416" i="9"/>
  <c r="O416" i="9" s="1"/>
  <c r="L416" i="9"/>
  <c r="N308" i="9"/>
  <c r="O308" i="9" s="1"/>
  <c r="L308" i="9"/>
  <c r="N97" i="9"/>
  <c r="O97" i="9" s="1"/>
  <c r="L97" i="9"/>
  <c r="N323" i="9"/>
  <c r="O323" i="9" s="1"/>
  <c r="L323" i="9"/>
  <c r="L193" i="9"/>
  <c r="N224" i="9"/>
  <c r="O224" i="9" s="1"/>
  <c r="L224" i="9"/>
  <c r="L166" i="9"/>
  <c r="N291" i="9"/>
  <c r="O291" i="9" s="1"/>
  <c r="L291" i="9"/>
  <c r="L386" i="9"/>
  <c r="L192" i="9"/>
  <c r="N177" i="9"/>
  <c r="O177" i="9" s="1"/>
  <c r="L177" i="9"/>
  <c r="N150" i="9"/>
  <c r="O150" i="9" s="1"/>
  <c r="L150" i="9"/>
  <c r="N385" i="9"/>
  <c r="O385" i="9" s="1"/>
  <c r="L385" i="9"/>
  <c r="N378" i="9"/>
  <c r="O378" i="9" s="1"/>
  <c r="L378" i="9"/>
  <c r="L318" i="9"/>
  <c r="N405" i="9"/>
  <c r="O405" i="9" s="1"/>
  <c r="L405" i="9"/>
  <c r="L403" i="9"/>
  <c r="N264" i="9"/>
  <c r="O264" i="9" s="1"/>
  <c r="L264" i="9"/>
  <c r="N205" i="9"/>
  <c r="O205" i="9" s="1"/>
  <c r="L205" i="9"/>
  <c r="N136" i="9"/>
  <c r="O136" i="9" s="1"/>
  <c r="L136" i="9"/>
  <c r="N161" i="9"/>
  <c r="O161" i="9" s="1"/>
  <c r="L161" i="9"/>
  <c r="N214" i="9"/>
  <c r="O214" i="9" s="1"/>
  <c r="L214" i="9"/>
  <c r="N410" i="9"/>
  <c r="O410" i="9" s="1"/>
  <c r="L410" i="9"/>
  <c r="N340" i="9"/>
  <c r="O340" i="9" s="1"/>
  <c r="L340" i="9"/>
  <c r="L189" i="9"/>
  <c r="N230" i="9"/>
  <c r="O230" i="9" s="1"/>
  <c r="L230" i="9"/>
  <c r="L156" i="9"/>
  <c r="N333" i="9"/>
  <c r="O333" i="9" s="1"/>
  <c r="L333" i="9"/>
  <c r="L74" i="9"/>
  <c r="N186" i="9"/>
  <c r="O186" i="9" s="1"/>
  <c r="L186" i="9"/>
  <c r="L351" i="9"/>
  <c r="N118" i="9"/>
  <c r="O118" i="9" s="1"/>
  <c r="L118" i="9"/>
  <c r="N76" i="9"/>
  <c r="O76" i="9" s="1"/>
  <c r="L76" i="9"/>
  <c r="N174" i="9"/>
  <c r="O174" i="9" s="1"/>
  <c r="L174" i="9"/>
  <c r="L225" i="9"/>
  <c r="N145" i="9"/>
  <c r="O145" i="9" s="1"/>
  <c r="L145" i="9"/>
  <c r="L152" i="9"/>
  <c r="N362" i="9"/>
  <c r="O362" i="9" s="1"/>
  <c r="L362" i="9"/>
  <c r="L103" i="9"/>
  <c r="N279" i="9"/>
  <c r="O279" i="9" s="1"/>
  <c r="L279" i="9"/>
  <c r="N128" i="9"/>
  <c r="O128" i="9" s="1"/>
  <c r="L128" i="9"/>
  <c r="N383" i="9"/>
  <c r="O383" i="9" s="1"/>
  <c r="L383" i="9"/>
  <c r="N371" i="9"/>
  <c r="O371" i="9" s="1"/>
  <c r="L371" i="9"/>
  <c r="N87" i="9"/>
  <c r="O87" i="9" s="1"/>
  <c r="L87" i="9"/>
  <c r="N77" i="9"/>
  <c r="O77" i="9" s="1"/>
  <c r="L77" i="9"/>
  <c r="N250" i="9"/>
  <c r="O250" i="9" s="1"/>
  <c r="L250" i="9"/>
  <c r="N75" i="9"/>
  <c r="O75" i="9" s="1"/>
  <c r="L75" i="9"/>
  <c r="N93" i="9"/>
  <c r="O93" i="9" s="1"/>
  <c r="L93" i="9"/>
  <c r="L300" i="9"/>
  <c r="N99" i="9"/>
  <c r="O99" i="9" s="1"/>
  <c r="L99" i="9"/>
  <c r="N357" i="9"/>
  <c r="O357" i="9" s="1"/>
  <c r="N429" i="9"/>
  <c r="O429" i="9" s="1"/>
  <c r="N386" i="9"/>
  <c r="O386" i="9" s="1"/>
  <c r="N120" i="9"/>
  <c r="O120" i="9" s="1"/>
  <c r="N426" i="9"/>
  <c r="O426" i="9" s="1"/>
  <c r="N335" i="9"/>
  <c r="O335" i="9" s="1"/>
  <c r="N305" i="9"/>
  <c r="O305" i="9" s="1"/>
  <c r="N200" i="9"/>
  <c r="O200" i="9" s="1"/>
  <c r="N263" i="9"/>
  <c r="O263" i="9" s="1"/>
  <c r="N83" i="9"/>
  <c r="O83" i="9" s="1"/>
  <c r="N304" i="9"/>
  <c r="O304" i="9" s="1"/>
  <c r="N81" i="9"/>
  <c r="O81" i="9" s="1"/>
  <c r="N73" i="9"/>
  <c r="O73" i="9" s="1"/>
  <c r="N332" i="9"/>
  <c r="O332" i="9" s="1"/>
  <c r="E79" i="9"/>
  <c r="N134" i="9"/>
  <c r="O134" i="9" s="1"/>
  <c r="N140" i="9"/>
  <c r="O140" i="9" s="1"/>
  <c r="N243" i="9"/>
  <c r="O243" i="9" s="1"/>
  <c r="N216" i="9"/>
  <c r="O216" i="9" s="1"/>
  <c r="N313" i="9"/>
  <c r="O313" i="9" s="1"/>
  <c r="N100" i="9"/>
  <c r="O100" i="9" s="1"/>
  <c r="N419" i="9"/>
  <c r="O419" i="9" s="1"/>
  <c r="N257" i="9"/>
  <c r="O257" i="9" s="1"/>
  <c r="N207" i="9"/>
  <c r="O207" i="9" s="1"/>
  <c r="N251" i="9"/>
  <c r="O251" i="9" s="1"/>
  <c r="N185" i="9"/>
  <c r="O185" i="9" s="1"/>
  <c r="N154" i="9"/>
  <c r="O154" i="9" s="1"/>
  <c r="N135" i="9"/>
  <c r="O135" i="9" s="1"/>
  <c r="N312" i="9"/>
  <c r="O312" i="9" s="1"/>
  <c r="N408" i="9"/>
  <c r="O408" i="9" s="1"/>
  <c r="N226" i="9"/>
  <c r="O226" i="9" s="1"/>
  <c r="N146" i="9"/>
  <c r="O146" i="9" s="1"/>
  <c r="N409" i="9"/>
  <c r="O409" i="9" s="1"/>
  <c r="N425" i="9"/>
  <c r="O425" i="9" s="1"/>
  <c r="N168" i="9"/>
  <c r="O168" i="9" s="1"/>
  <c r="N255" i="9"/>
  <c r="O255" i="9" s="1"/>
  <c r="N321" i="9"/>
  <c r="O321" i="9" s="1"/>
  <c r="N354" i="9"/>
  <c r="O354" i="9" s="1"/>
  <c r="N369" i="9"/>
  <c r="O369" i="9" s="1"/>
  <c r="N361" i="9"/>
  <c r="O361" i="9" s="1"/>
  <c r="N315" i="9"/>
  <c r="O315" i="9" s="1"/>
  <c r="N231" i="9"/>
  <c r="O231" i="9" s="1"/>
  <c r="N325" i="9"/>
  <c r="O325" i="9" s="1"/>
  <c r="N320" i="9"/>
  <c r="O320" i="9" s="1"/>
  <c r="N307" i="9"/>
  <c r="O307" i="9" s="1"/>
  <c r="N346" i="9"/>
  <c r="O346" i="9" s="1"/>
  <c r="N245" i="9"/>
  <c r="O245" i="9" s="1"/>
  <c r="N389" i="9"/>
  <c r="O389" i="9" s="1"/>
  <c r="N158" i="9"/>
  <c r="O158" i="9" s="1"/>
  <c r="N188" i="9"/>
  <c r="O188" i="9" s="1"/>
  <c r="N104" i="9"/>
  <c r="O104" i="9" s="1"/>
  <c r="N240" i="9"/>
  <c r="O240" i="9" s="1"/>
  <c r="N95" i="9"/>
  <c r="O95" i="9" s="1"/>
  <c r="N92" i="9"/>
  <c r="O92" i="9" s="1"/>
  <c r="N101" i="9"/>
  <c r="O101" i="9" s="1"/>
  <c r="N418" i="9"/>
  <c r="O418" i="9" s="1"/>
  <c r="N422" i="9"/>
  <c r="O422" i="9" s="1"/>
  <c r="N412" i="9"/>
  <c r="O412" i="9" s="1"/>
  <c r="N90" i="9"/>
  <c r="O90" i="9" s="1"/>
  <c r="N381" i="9"/>
  <c r="O381" i="9" s="1"/>
  <c r="N319" i="9"/>
  <c r="O319" i="9" s="1"/>
  <c r="N96" i="9"/>
  <c r="O96" i="9" s="1"/>
  <c r="N238" i="9"/>
  <c r="O238" i="9" s="1"/>
  <c r="N280" i="9"/>
  <c r="O280" i="9" s="1"/>
  <c r="N393" i="9"/>
  <c r="O393" i="9" s="1"/>
  <c r="N310" i="9"/>
  <c r="O310" i="9" s="1"/>
  <c r="N294" i="9"/>
  <c r="O294" i="9" s="1"/>
  <c r="N365" i="9"/>
  <c r="O365" i="9" s="1"/>
  <c r="N229" i="9"/>
  <c r="O229" i="9" s="1"/>
  <c r="N372" i="9"/>
  <c r="O372" i="9" s="1"/>
  <c r="N415" i="9"/>
  <c r="O415" i="9" s="1"/>
  <c r="N281" i="9"/>
  <c r="O281" i="9" s="1"/>
  <c r="N80" i="9"/>
  <c r="O80" i="9" s="1"/>
  <c r="N388" i="9"/>
  <c r="O388" i="9" s="1"/>
  <c r="N271" i="9"/>
  <c r="O271" i="9" s="1"/>
  <c r="N160" i="9"/>
  <c r="O160" i="9" s="1"/>
  <c r="N411" i="9"/>
  <c r="O411" i="9" s="1"/>
  <c r="N82" i="9"/>
  <c r="O82" i="9" s="1"/>
  <c r="N211" i="9"/>
  <c r="O211" i="9" s="1"/>
  <c r="E333" i="9"/>
  <c r="N201" i="9"/>
  <c r="O201" i="9" s="1"/>
  <c r="N212" i="9"/>
  <c r="O212" i="9" s="1"/>
  <c r="N155" i="9"/>
  <c r="O155" i="9" s="1"/>
  <c r="N356" i="9"/>
  <c r="O356" i="9" s="1"/>
  <c r="N208" i="9"/>
  <c r="O208" i="9" s="1"/>
  <c r="N193" i="9"/>
  <c r="O193" i="9" s="1"/>
  <c r="N166" i="9"/>
  <c r="O166" i="9" s="1"/>
  <c r="N192" i="9"/>
  <c r="O192" i="9" s="1"/>
  <c r="N129" i="9"/>
  <c r="O129" i="9" s="1"/>
  <c r="N331" i="9"/>
  <c r="O331" i="9" s="1"/>
  <c r="N126" i="9"/>
  <c r="O126" i="9" s="1"/>
  <c r="N133" i="9"/>
  <c r="O133" i="9" s="1"/>
  <c r="N124" i="9"/>
  <c r="O124" i="9" s="1"/>
  <c r="N275" i="9"/>
  <c r="O275" i="9" s="1"/>
  <c r="N344" i="9"/>
  <c r="O344" i="9" s="1"/>
  <c r="N377" i="9"/>
  <c r="O377" i="9" s="1"/>
  <c r="N353" i="9"/>
  <c r="O353" i="9" s="1"/>
  <c r="N348" i="9"/>
  <c r="O348" i="9" s="1"/>
  <c r="N170" i="9"/>
  <c r="O170" i="9" s="1"/>
  <c r="N337" i="9"/>
  <c r="O337" i="9" s="1"/>
  <c r="N272" i="9"/>
  <c r="O272" i="9" s="1"/>
  <c r="N326" i="9"/>
  <c r="O326" i="9" s="1"/>
  <c r="N163" i="9"/>
  <c r="O163" i="9" s="1"/>
  <c r="N352" i="9"/>
  <c r="O352" i="9" s="1"/>
  <c r="N102" i="9"/>
  <c r="O102" i="9" s="1"/>
  <c r="N314" i="9"/>
  <c r="O314" i="9" s="1"/>
  <c r="N148" i="9"/>
  <c r="O148" i="9" s="1"/>
  <c r="N143" i="9"/>
  <c r="O143" i="9" s="1"/>
  <c r="N173" i="9"/>
  <c r="O173" i="9" s="1"/>
  <c r="N164" i="9"/>
  <c r="O164" i="9" s="1"/>
  <c r="N114" i="9"/>
  <c r="O114" i="9" s="1"/>
  <c r="N270" i="9"/>
  <c r="O270" i="9" s="1"/>
  <c r="N222" i="9"/>
  <c r="O222" i="9" s="1"/>
  <c r="N235" i="9"/>
  <c r="O235" i="9" s="1"/>
  <c r="N202" i="9"/>
  <c r="O202" i="9" s="1"/>
  <c r="N330" i="9"/>
  <c r="O330" i="9" s="1"/>
  <c r="N108" i="9"/>
  <c r="O108" i="9" s="1"/>
  <c r="N119" i="9"/>
  <c r="O119" i="9" s="1"/>
  <c r="N334" i="9"/>
  <c r="O334" i="9" s="1"/>
  <c r="N374" i="9"/>
  <c r="O374" i="9" s="1"/>
  <c r="N322" i="9"/>
  <c r="O322" i="9" s="1"/>
  <c r="N182" i="9"/>
  <c r="O182" i="9" s="1"/>
  <c r="N127" i="9"/>
  <c r="O127" i="9" s="1"/>
  <c r="N375" i="9"/>
  <c r="O375" i="9" s="1"/>
  <c r="N218" i="9"/>
  <c r="O218" i="9" s="1"/>
  <c r="N289" i="9"/>
  <c r="O289" i="9" s="1"/>
  <c r="N417" i="9"/>
  <c r="O417" i="9" s="1"/>
  <c r="N246" i="9"/>
  <c r="O246" i="9" s="1"/>
  <c r="N274" i="9"/>
  <c r="O274" i="9" s="1"/>
  <c r="N311" i="9"/>
  <c r="O311" i="9" s="1"/>
  <c r="N424" i="9"/>
  <c r="O424" i="9" s="1"/>
  <c r="N256" i="9"/>
  <c r="O256" i="9" s="1"/>
  <c r="N292" i="9"/>
  <c r="O292" i="9" s="1"/>
  <c r="N327" i="9"/>
  <c r="O327" i="9" s="1"/>
  <c r="N316" i="9"/>
  <c r="O316" i="9" s="1"/>
  <c r="N358" i="9"/>
  <c r="O358" i="9" s="1"/>
  <c r="N72" i="9"/>
  <c r="O72" i="9" s="1"/>
  <c r="G16" i="12" s="1"/>
  <c r="N91" i="9"/>
  <c r="O91" i="9" s="1"/>
  <c r="N303" i="9"/>
  <c r="O303" i="9" s="1"/>
  <c r="N228" i="9"/>
  <c r="O228" i="9" s="1"/>
  <c r="N84" i="9"/>
  <c r="O84" i="9" s="1"/>
  <c r="N273" i="9"/>
  <c r="O273" i="9" s="1"/>
  <c r="N421" i="9"/>
  <c r="O421" i="9" s="1"/>
  <c r="N98" i="9"/>
  <c r="O98" i="9" s="1"/>
  <c r="N85" i="9"/>
  <c r="O85" i="9" s="1"/>
  <c r="N139" i="9"/>
  <c r="O139" i="9" s="1"/>
  <c r="N105" i="9"/>
  <c r="O105" i="9" s="1"/>
  <c r="N88" i="9"/>
  <c r="O88" i="9" s="1"/>
  <c r="N191" i="9"/>
  <c r="O191" i="9" s="1"/>
  <c r="N267" i="9"/>
  <c r="O267" i="9" s="1"/>
  <c r="N197" i="9"/>
  <c r="O197" i="9" s="1"/>
  <c r="E89" i="9"/>
  <c r="E76" i="9"/>
  <c r="N252" i="9"/>
  <c r="O252" i="9" s="1"/>
  <c r="N278" i="9"/>
  <c r="O278" i="9" s="1"/>
  <c r="N210" i="9"/>
  <c r="O210" i="9" s="1"/>
  <c r="N141" i="9"/>
  <c r="O141" i="9" s="1"/>
  <c r="E107" i="9"/>
  <c r="E367" i="9"/>
  <c r="E86" i="9"/>
  <c r="E78" i="9"/>
  <c r="E75" i="9"/>
  <c r="E309" i="9"/>
  <c r="G72" i="9"/>
  <c r="N364" i="9"/>
  <c r="O364" i="9" s="1"/>
  <c r="N428" i="9"/>
  <c r="O428" i="9" s="1"/>
  <c r="E269" i="9"/>
  <c r="E77" i="9"/>
  <c r="N350" i="9"/>
  <c r="O350" i="9" s="1"/>
  <c r="E389" i="9"/>
  <c r="N295" i="9"/>
  <c r="O295" i="9" s="1"/>
  <c r="N237" i="9"/>
  <c r="O237" i="9" s="1"/>
  <c r="N266" i="9"/>
  <c r="O266" i="9" s="1"/>
  <c r="N399" i="9"/>
  <c r="O399" i="9" s="1"/>
  <c r="N351" i="9"/>
  <c r="O351" i="9" s="1"/>
  <c r="N427" i="9"/>
  <c r="O427" i="9" s="1"/>
  <c r="N402" i="9"/>
  <c r="O402" i="9" s="1"/>
  <c r="E256" i="9"/>
  <c r="E88" i="9"/>
  <c r="E93" i="9"/>
  <c r="E385" i="9"/>
  <c r="E239" i="9"/>
  <c r="N103" i="9"/>
  <c r="O103" i="9" s="1"/>
  <c r="N300" i="9"/>
  <c r="O300" i="9" s="1"/>
  <c r="E430" i="9"/>
  <c r="E358" i="9"/>
  <c r="N360" i="9"/>
  <c r="O360" i="9" s="1"/>
  <c r="E361" i="9"/>
  <c r="N223" i="9"/>
  <c r="O223" i="9" s="1"/>
  <c r="N298" i="9"/>
  <c r="O298" i="9" s="1"/>
  <c r="N187" i="9"/>
  <c r="O187" i="9" s="1"/>
  <c r="N156" i="9"/>
  <c r="O156" i="9" s="1"/>
  <c r="N347" i="9"/>
  <c r="O347" i="9" s="1"/>
  <c r="N318" i="9"/>
  <c r="O318" i="9" s="1"/>
  <c r="E193" i="9"/>
  <c r="E400" i="9"/>
  <c r="E318" i="9"/>
  <c r="E378" i="9"/>
  <c r="E73" i="9"/>
  <c r="E71" i="9"/>
  <c r="F71" i="9" s="1"/>
  <c r="E155" i="9"/>
  <c r="N404" i="9"/>
  <c r="O404" i="9" s="1"/>
  <c r="N403" i="9"/>
  <c r="O403" i="9" s="1"/>
  <c r="N317" i="9"/>
  <c r="O317" i="9" s="1"/>
  <c r="N189" i="9"/>
  <c r="O189" i="9" s="1"/>
  <c r="N220" i="9"/>
  <c r="O220" i="9" s="1"/>
  <c r="E229" i="9"/>
  <c r="E268" i="9"/>
  <c r="E85" i="9"/>
  <c r="E81" i="9"/>
  <c r="N391" i="9"/>
  <c r="O391" i="9" s="1"/>
  <c r="E221" i="9"/>
  <c r="E251" i="9"/>
  <c r="E414" i="9"/>
  <c r="E390" i="9"/>
  <c r="E410" i="9"/>
  <c r="E415" i="9"/>
  <c r="E422" i="9"/>
  <c r="E382" i="9"/>
  <c r="E375" i="9"/>
  <c r="E324" i="9"/>
  <c r="E420" i="9"/>
  <c r="E271" i="9"/>
  <c r="E330" i="9"/>
  <c r="E352" i="9"/>
  <c r="N227" i="9"/>
  <c r="O227" i="9" s="1"/>
  <c r="E416" i="9"/>
  <c r="N342" i="9"/>
  <c r="O342" i="9" s="1"/>
  <c r="E87" i="9"/>
  <c r="E359" i="9"/>
  <c r="E129" i="9"/>
  <c r="E113" i="9"/>
  <c r="E124" i="9"/>
  <c r="N89" i="9"/>
  <c r="O89" i="9" s="1"/>
  <c r="N121" i="9"/>
  <c r="O121" i="9" s="1"/>
  <c r="N390" i="9"/>
  <c r="O390" i="9" s="1"/>
  <c r="N407" i="9"/>
  <c r="O407" i="9" s="1"/>
  <c r="N194" i="9"/>
  <c r="O194" i="9" s="1"/>
  <c r="N329" i="9"/>
  <c r="O329" i="9" s="1"/>
  <c r="E72" i="9"/>
  <c r="E91" i="9"/>
  <c r="E144" i="9"/>
  <c r="N213" i="9"/>
  <c r="O213" i="9" s="1"/>
  <c r="N247" i="9"/>
  <c r="O247" i="9" s="1"/>
  <c r="N430" i="9"/>
  <c r="O430" i="9" s="1"/>
  <c r="E403" i="9"/>
  <c r="E216" i="9"/>
  <c r="E336" i="9"/>
  <c r="E321" i="9"/>
  <c r="E274" i="9"/>
  <c r="E332" i="9"/>
  <c r="E275" i="9"/>
  <c r="E379" i="9"/>
  <c r="E404" i="9"/>
  <c r="E360" i="9"/>
  <c r="E394" i="9"/>
  <c r="E228" i="9"/>
  <c r="E425" i="9"/>
  <c r="E374" i="9"/>
  <c r="E211" i="9"/>
  <c r="E396" i="9"/>
  <c r="E296" i="9"/>
  <c r="E305" i="9"/>
  <c r="E217" i="9"/>
  <c r="E419" i="9"/>
  <c r="E418" i="9"/>
  <c r="E329" i="9"/>
  <c r="E94" i="9"/>
  <c r="E135" i="9"/>
  <c r="E149" i="9"/>
  <c r="E402" i="9"/>
  <c r="N253" i="9"/>
  <c r="O253" i="9" s="1"/>
  <c r="N78" i="9"/>
  <c r="O78" i="9" s="1"/>
  <c r="E409" i="9"/>
  <c r="E381" i="9"/>
  <c r="E346" i="9"/>
  <c r="E291" i="9"/>
  <c r="E242" i="9"/>
  <c r="E417" i="9"/>
  <c r="E429" i="9"/>
  <c r="E310" i="9"/>
  <c r="E261" i="9"/>
  <c r="E392" i="9"/>
  <c r="E180" i="9"/>
  <c r="E370" i="9"/>
  <c r="E373" i="9"/>
  <c r="E345" i="9"/>
  <c r="E344" i="9"/>
  <c r="E335" i="9"/>
  <c r="E234" i="9"/>
  <c r="E376" i="9"/>
  <c r="E399" i="9"/>
  <c r="E259" i="9"/>
  <c r="E340" i="9"/>
  <c r="E308" i="9"/>
  <c r="E320" i="9"/>
  <c r="E386" i="9"/>
  <c r="E230" i="9"/>
  <c r="E398" i="9"/>
  <c r="E236" i="9"/>
  <c r="E224" i="9"/>
  <c r="E371" i="9"/>
  <c r="N130" i="9"/>
  <c r="O130" i="9" s="1"/>
  <c r="E423" i="9"/>
  <c r="E316" i="9"/>
  <c r="E368" i="9"/>
  <c r="N290" i="9"/>
  <c r="O290" i="9" s="1"/>
  <c r="E273" i="9"/>
  <c r="E83" i="9"/>
  <c r="E92" i="9"/>
  <c r="E260" i="9"/>
  <c r="N234" i="9"/>
  <c r="O234" i="9" s="1"/>
  <c r="N107" i="9"/>
  <c r="O107" i="9" s="1"/>
  <c r="N232" i="9"/>
  <c r="O232" i="9" s="1"/>
  <c r="N152" i="9"/>
  <c r="O152" i="9" s="1"/>
  <c r="N370" i="9"/>
  <c r="O370" i="9" s="1"/>
  <c r="N306" i="9"/>
  <c r="O306" i="9" s="1"/>
  <c r="E397" i="9"/>
  <c r="E235" i="9"/>
  <c r="E249" i="9"/>
  <c r="E380" i="9"/>
  <c r="E84" i="9"/>
  <c r="N387" i="9"/>
  <c r="O387" i="9" s="1"/>
  <c r="N171" i="9"/>
  <c r="O171" i="9" s="1"/>
  <c r="N225" i="9"/>
  <c r="O225" i="9" s="1"/>
  <c r="E387" i="9"/>
  <c r="E372" i="9"/>
  <c r="E351" i="9"/>
  <c r="E393" i="9"/>
  <c r="E408" i="9"/>
  <c r="E288" i="9"/>
  <c r="E219" i="9"/>
  <c r="E289" i="9"/>
  <c r="E287" i="9"/>
  <c r="E270" i="9"/>
  <c r="E252" i="9"/>
  <c r="E80" i="9"/>
  <c r="E82" i="9"/>
  <c r="E147" i="9"/>
  <c r="N379" i="9"/>
  <c r="O379" i="9" s="1"/>
  <c r="N149" i="9"/>
  <c r="O149" i="9" s="1"/>
  <c r="N123" i="9"/>
  <c r="O123" i="9" s="1"/>
  <c r="N397" i="9"/>
  <c r="O397" i="9" s="1"/>
  <c r="N288" i="9"/>
  <c r="O288" i="9" s="1"/>
  <c r="N203" i="9"/>
  <c r="O203" i="9" s="1"/>
  <c r="N398" i="9"/>
  <c r="O398" i="9" s="1"/>
  <c r="N74" i="9"/>
  <c r="O74" i="9" s="1"/>
  <c r="E282" i="9"/>
  <c r="E199" i="9"/>
  <c r="E366" i="9"/>
  <c r="E250" i="9"/>
  <c r="E391" i="9"/>
  <c r="E369" i="9"/>
  <c r="E354" i="9"/>
  <c r="E406" i="9"/>
  <c r="E317" i="9"/>
  <c r="E319" i="9"/>
  <c r="E313" i="9"/>
  <c r="E363" i="9"/>
  <c r="E233" i="9"/>
  <c r="E272" i="9"/>
  <c r="N151" i="9"/>
  <c r="O151" i="9" s="1"/>
  <c r="E411" i="9"/>
  <c r="E405" i="9"/>
  <c r="E341" i="9"/>
  <c r="E337" i="9"/>
  <c r="E350" i="9"/>
  <c r="E231" i="9"/>
  <c r="E364" i="9"/>
  <c r="E214" i="9"/>
  <c r="E339" i="9"/>
  <c r="N261" i="9"/>
  <c r="O261" i="9" s="1"/>
  <c r="N190" i="9"/>
  <c r="O190" i="9" s="1"/>
  <c r="E283" i="9"/>
  <c r="E277" i="9"/>
  <c r="E401" i="9"/>
  <c r="E427" i="9"/>
  <c r="E188" i="9"/>
  <c r="E294" i="9"/>
  <c r="E353" i="9"/>
  <c r="E325" i="9"/>
  <c r="E253" i="9"/>
  <c r="E395" i="9"/>
  <c r="E312" i="9"/>
  <c r="E244" i="9"/>
  <c r="E356" i="9"/>
  <c r="E327" i="9"/>
  <c r="E384" i="9"/>
  <c r="E322" i="9"/>
  <c r="E334" i="9"/>
  <c r="E326" i="9"/>
  <c r="E267" i="9"/>
  <c r="E338" i="9"/>
  <c r="E292" i="9"/>
  <c r="E264" i="9"/>
  <c r="E421" i="9"/>
  <c r="E412" i="9"/>
  <c r="E428" i="9"/>
  <c r="E426" i="9"/>
  <c r="E232" i="9"/>
  <c r="E265" i="9"/>
  <c r="E365" i="9"/>
  <c r="E413" i="9"/>
  <c r="E90" i="9"/>
  <c r="E424" i="9"/>
  <c r="N394" i="9"/>
  <c r="O394" i="9" s="1"/>
  <c r="N115" i="9"/>
  <c r="O115" i="9" s="1"/>
  <c r="N296" i="9"/>
  <c r="O296" i="9" s="1"/>
  <c r="E198" i="9"/>
  <c r="E74" i="9"/>
  <c r="E343" i="9"/>
  <c r="E103" i="9"/>
  <c r="N175" i="9"/>
  <c r="O175" i="9" s="1"/>
  <c r="N301" i="9"/>
  <c r="O301" i="9" s="1"/>
  <c r="N169" i="9"/>
  <c r="O169" i="9" s="1"/>
  <c r="N109" i="9"/>
  <c r="O109" i="9" s="1"/>
  <c r="N395" i="9"/>
  <c r="O395" i="9" s="1"/>
  <c r="N338" i="9"/>
  <c r="O338" i="9" s="1"/>
  <c r="N392" i="9"/>
  <c r="O392" i="9" s="1"/>
  <c r="N363" i="9"/>
  <c r="O363" i="9" s="1"/>
  <c r="N112" i="9"/>
  <c r="O112" i="9" s="1"/>
  <c r="E355" i="9"/>
  <c r="E210" i="9"/>
  <c r="E206" i="9"/>
  <c r="E181" i="9"/>
  <c r="E362" i="9"/>
  <c r="E298" i="9"/>
  <c r="N299" i="9"/>
  <c r="O299" i="9" s="1"/>
  <c r="N153" i="9"/>
  <c r="O153" i="9" s="1"/>
  <c r="N125" i="9"/>
  <c r="O125" i="9" s="1"/>
  <c r="N241" i="9"/>
  <c r="O241" i="9" s="1"/>
  <c r="N122" i="9"/>
  <c r="O122" i="9" s="1"/>
  <c r="E203" i="9"/>
  <c r="E187" i="9"/>
  <c r="E307" i="9"/>
  <c r="E225" i="9"/>
  <c r="E357" i="9"/>
  <c r="E278" i="9"/>
  <c r="E243" i="9"/>
  <c r="E285" i="9"/>
  <c r="E125" i="9"/>
  <c r="E182" i="9"/>
  <c r="E323" i="9"/>
  <c r="E209" i="9"/>
  <c r="E212" i="9"/>
  <c r="E349" i="9"/>
  <c r="E276" i="9"/>
  <c r="E175" i="9"/>
  <c r="E172" i="9"/>
  <c r="E192" i="9"/>
  <c r="E202" i="9"/>
  <c r="E190" i="9"/>
  <c r="E169" i="9"/>
  <c r="N382" i="9"/>
  <c r="O382" i="9" s="1"/>
  <c r="E348" i="9"/>
  <c r="E222" i="9"/>
  <c r="E295" i="9"/>
  <c r="E301" i="9"/>
  <c r="E347" i="9"/>
  <c r="E177" i="9"/>
  <c r="E407" i="9"/>
  <c r="E195" i="9"/>
  <c r="E284" i="9"/>
  <c r="E241" i="9"/>
  <c r="E303" i="9"/>
  <c r="E342" i="9"/>
  <c r="E302" i="9"/>
  <c r="E248" i="9"/>
  <c r="E227" i="9"/>
  <c r="E315" i="9"/>
  <c r="E314" i="9"/>
  <c r="E223" i="9"/>
  <c r="E245" i="9"/>
  <c r="N131" i="9"/>
  <c r="O131" i="9" s="1"/>
  <c r="N180" i="9"/>
  <c r="O180" i="9" s="1"/>
  <c r="N284" i="9"/>
  <c r="O284" i="9" s="1"/>
  <c r="N113" i="9"/>
  <c r="O113" i="9" s="1"/>
  <c r="E207" i="9"/>
  <c r="E184" i="9"/>
  <c r="E197" i="9"/>
  <c r="E208" i="9"/>
  <c r="E186" i="9"/>
  <c r="E196" i="9"/>
  <c r="E204" i="9"/>
  <c r="E257" i="9"/>
  <c r="E237" i="9"/>
  <c r="E218" i="9"/>
  <c r="E290" i="9"/>
  <c r="E226" i="9"/>
  <c r="E300" i="9"/>
  <c r="E220" i="9"/>
  <c r="E297" i="9"/>
  <c r="E240" i="9"/>
  <c r="E304" i="9"/>
  <c r="E388" i="9"/>
  <c r="E377" i="9"/>
  <c r="E246" i="9"/>
  <c r="E266" i="9"/>
  <c r="E247" i="9"/>
  <c r="E293" i="9"/>
  <c r="E328" i="9"/>
  <c r="E176" i="9"/>
  <c r="E311" i="9"/>
  <c r="E383" i="9"/>
  <c r="E255" i="9"/>
  <c r="E279" i="9"/>
  <c r="E299" i="9"/>
  <c r="E106" i="9"/>
  <c r="E114" i="9"/>
  <c r="E156" i="9"/>
  <c r="N276" i="9"/>
  <c r="O276" i="9" s="1"/>
  <c r="N165" i="9"/>
  <c r="O165" i="9" s="1"/>
  <c r="E170" i="9"/>
  <c r="E238" i="9"/>
  <c r="E280" i="9"/>
  <c r="E200" i="9"/>
  <c r="E281" i="9"/>
  <c r="E258" i="9"/>
  <c r="E95" i="9"/>
  <c r="E139" i="9"/>
  <c r="E166" i="9"/>
  <c r="E152" i="9"/>
  <c r="N142" i="9"/>
  <c r="O142" i="9" s="1"/>
  <c r="E185" i="9"/>
  <c r="E254" i="9"/>
  <c r="E331" i="9"/>
  <c r="E286" i="9"/>
  <c r="E102" i="9"/>
  <c r="E109" i="9"/>
  <c r="N324" i="9"/>
  <c r="O324" i="9" s="1"/>
  <c r="N396" i="9"/>
  <c r="O396" i="9" s="1"/>
  <c r="E201" i="9"/>
  <c r="E263" i="9"/>
  <c r="E213" i="9"/>
  <c r="E262" i="9"/>
  <c r="N328" i="9"/>
  <c r="O328" i="9" s="1"/>
  <c r="N219" i="9"/>
  <c r="O219" i="9" s="1"/>
  <c r="E174" i="9"/>
  <c r="E179" i="9"/>
  <c r="E173" i="9"/>
  <c r="E205" i="9"/>
  <c r="E183" i="9"/>
  <c r="E194" i="9"/>
  <c r="E191" i="9"/>
  <c r="E178" i="9"/>
  <c r="E171" i="9"/>
  <c r="E146" i="9"/>
  <c r="E168" i="9"/>
  <c r="E148" i="9"/>
  <c r="E97" i="9"/>
  <c r="E99" i="9"/>
  <c r="E141" i="9"/>
  <c r="E128" i="9"/>
  <c r="E137" i="9"/>
  <c r="E132" i="9"/>
  <c r="E112" i="9"/>
  <c r="E105" i="9"/>
  <c r="E162" i="9"/>
  <c r="E143" i="9"/>
  <c r="E159" i="9"/>
  <c r="N283" i="9"/>
  <c r="O283" i="9" s="1"/>
  <c r="E138" i="9"/>
  <c r="E126" i="9"/>
  <c r="E154" i="9"/>
  <c r="E158" i="9"/>
  <c r="E136" i="9"/>
  <c r="E100" i="9"/>
  <c r="E117" i="9"/>
  <c r="E108" i="9"/>
  <c r="E157" i="9"/>
  <c r="N413" i="9"/>
  <c r="O413" i="9" s="1"/>
  <c r="E134" i="9"/>
  <c r="E145" i="9"/>
  <c r="E130" i="9"/>
  <c r="E131" i="9"/>
  <c r="E96" i="9"/>
  <c r="E120" i="9"/>
  <c r="E122" i="9"/>
  <c r="E110" i="9"/>
  <c r="E104" i="9"/>
  <c r="E164" i="9"/>
  <c r="E98" i="9"/>
  <c r="E165" i="9"/>
  <c r="E111" i="9"/>
  <c r="E123" i="9"/>
  <c r="E167" i="9"/>
  <c r="E119" i="9"/>
  <c r="E163" i="9"/>
  <c r="E160" i="9"/>
  <c r="E116" i="9"/>
  <c r="E161" i="9"/>
  <c r="E127" i="9"/>
  <c r="E133" i="9"/>
  <c r="E142" i="9"/>
  <c r="E101" i="9"/>
  <c r="E150" i="9"/>
  <c r="E140" i="9"/>
  <c r="E115" i="9"/>
  <c r="E121" i="9"/>
  <c r="E151" i="9"/>
  <c r="E153" i="9"/>
  <c r="E118" i="9"/>
  <c r="H71" i="9"/>
  <c r="H72" i="9" l="1"/>
  <c r="Q72" i="9"/>
  <c r="R72" i="9" s="1"/>
  <c r="G73" i="9"/>
  <c r="Q71" i="9"/>
  <c r="S71" i="9" s="1"/>
  <c r="T71" i="9" s="1"/>
  <c r="I72" i="9"/>
  <c r="I71" i="9"/>
  <c r="F72" i="9"/>
  <c r="F73" i="9" s="1"/>
  <c r="F74" i="9" s="1"/>
  <c r="F75" i="9" s="1"/>
  <c r="F76" i="9" s="1"/>
  <c r="F77" i="9" s="1"/>
  <c r="F78" i="9" s="1"/>
  <c r="F79" i="9" s="1"/>
  <c r="F80" i="9" s="1"/>
  <c r="F81" i="9" s="1"/>
  <c r="F82" i="9" s="1"/>
  <c r="F83" i="9" s="1"/>
  <c r="F84" i="9" s="1"/>
  <c r="F85" i="9" s="1"/>
  <c r="F86" i="9" s="1"/>
  <c r="F87" i="9" s="1"/>
  <c r="F88" i="9" s="1"/>
  <c r="F89" i="9" s="1"/>
  <c r="F90" i="9" s="1"/>
  <c r="F91" i="9" s="1"/>
  <c r="F92" i="9" s="1"/>
  <c r="F93" i="9" s="1"/>
  <c r="F94" i="9" s="1"/>
  <c r="F95" i="9" s="1"/>
  <c r="F96" i="9" s="1"/>
  <c r="F97" i="9" s="1"/>
  <c r="F98" i="9" s="1"/>
  <c r="F99" i="9" s="1"/>
  <c r="F100" i="9" s="1"/>
  <c r="F101" i="9" s="1"/>
  <c r="F102" i="9" s="1"/>
  <c r="F103" i="9" s="1"/>
  <c r="F104" i="9" s="1"/>
  <c r="F105" i="9" s="1"/>
  <c r="F106" i="9" s="1"/>
  <c r="F107" i="9" s="1"/>
  <c r="F108" i="9" s="1"/>
  <c r="F109" i="9" s="1"/>
  <c r="F110" i="9" s="1"/>
  <c r="F111" i="9" s="1"/>
  <c r="F112" i="9" s="1"/>
  <c r="F113" i="9" s="1"/>
  <c r="F114" i="9" s="1"/>
  <c r="F115" i="9" s="1"/>
  <c r="F116" i="9" s="1"/>
  <c r="F117" i="9" s="1"/>
  <c r="F118" i="9" s="1"/>
  <c r="F119" i="9" s="1"/>
  <c r="F120" i="9" s="1"/>
  <c r="F121" i="9" s="1"/>
  <c r="F122" i="9" s="1"/>
  <c r="F123" i="9" s="1"/>
  <c r="F124" i="9" s="1"/>
  <c r="F125" i="9" s="1"/>
  <c r="F126" i="9" s="1"/>
  <c r="F127" i="9" s="1"/>
  <c r="F128" i="9" s="1"/>
  <c r="F129" i="9" s="1"/>
  <c r="F130" i="9" s="1"/>
  <c r="F131" i="9" s="1"/>
  <c r="F132" i="9" s="1"/>
  <c r="F133" i="9" s="1"/>
  <c r="F134" i="9" s="1"/>
  <c r="F135" i="9" s="1"/>
  <c r="F136" i="9" s="1"/>
  <c r="F137" i="9" s="1"/>
  <c r="F138" i="9" s="1"/>
  <c r="F139" i="9" s="1"/>
  <c r="F140" i="9" s="1"/>
  <c r="F141" i="9" s="1"/>
  <c r="F142" i="9" s="1"/>
  <c r="F143" i="9" s="1"/>
  <c r="F144" i="9" s="1"/>
  <c r="F145" i="9" s="1"/>
  <c r="F146" i="9" s="1"/>
  <c r="F147" i="9" s="1"/>
  <c r="F148" i="9" s="1"/>
  <c r="F149" i="9" s="1"/>
  <c r="F150" i="9" s="1"/>
  <c r="F151" i="9" s="1"/>
  <c r="F152" i="9" s="1"/>
  <c r="F153" i="9" s="1"/>
  <c r="F154" i="9" s="1"/>
  <c r="F155" i="9" s="1"/>
  <c r="F156" i="9" s="1"/>
  <c r="F157" i="9" s="1"/>
  <c r="F158" i="9" s="1"/>
  <c r="F159" i="9" s="1"/>
  <c r="F160" i="9" s="1"/>
  <c r="F161" i="9" s="1"/>
  <c r="F162" i="9" s="1"/>
  <c r="F163" i="9" s="1"/>
  <c r="F164" i="9" s="1"/>
  <c r="F165" i="9" s="1"/>
  <c r="F166" i="9" s="1"/>
  <c r="F167" i="9" s="1"/>
  <c r="F168" i="9" s="1"/>
  <c r="F169" i="9" s="1"/>
  <c r="F170" i="9" s="1"/>
  <c r="F171" i="9" s="1"/>
  <c r="F172" i="9" s="1"/>
  <c r="F173" i="9" s="1"/>
  <c r="F174" i="9" s="1"/>
  <c r="F175" i="9" s="1"/>
  <c r="F176" i="9" s="1"/>
  <c r="F177" i="9" s="1"/>
  <c r="F178" i="9" s="1"/>
  <c r="F179" i="9" s="1"/>
  <c r="F180" i="9" s="1"/>
  <c r="F181" i="9" s="1"/>
  <c r="F182" i="9" s="1"/>
  <c r="F183" i="9" s="1"/>
  <c r="F184" i="9" s="1"/>
  <c r="F185" i="9" s="1"/>
  <c r="F186" i="9" s="1"/>
  <c r="F187" i="9" s="1"/>
  <c r="F188" i="9" s="1"/>
  <c r="F189" i="9" s="1"/>
  <c r="F190" i="9" s="1"/>
  <c r="F191" i="9" s="1"/>
  <c r="F192" i="9" s="1"/>
  <c r="F193" i="9" s="1"/>
  <c r="F194" i="9" s="1"/>
  <c r="F195" i="9" s="1"/>
  <c r="F196" i="9" s="1"/>
  <c r="F197" i="9" s="1"/>
  <c r="F198" i="9" s="1"/>
  <c r="F199" i="9" s="1"/>
  <c r="F200" i="9" s="1"/>
  <c r="F201" i="9" s="1"/>
  <c r="F202" i="9" s="1"/>
  <c r="F203" i="9" s="1"/>
  <c r="F204" i="9" s="1"/>
  <c r="F205" i="9" s="1"/>
  <c r="F206" i="9" s="1"/>
  <c r="F207" i="9" s="1"/>
  <c r="F208" i="9" s="1"/>
  <c r="F209" i="9" s="1"/>
  <c r="F210" i="9" s="1"/>
  <c r="F211" i="9" s="1"/>
  <c r="F212" i="9" s="1"/>
  <c r="F213" i="9" s="1"/>
  <c r="F214" i="9" s="1"/>
  <c r="F215" i="9" s="1"/>
  <c r="F216" i="9" s="1"/>
  <c r="F217" i="9" s="1"/>
  <c r="F218" i="9" s="1"/>
  <c r="F219" i="9" s="1"/>
  <c r="F220" i="9" s="1"/>
  <c r="F221" i="9" s="1"/>
  <c r="F222" i="9" s="1"/>
  <c r="F223" i="9" s="1"/>
  <c r="F224" i="9" s="1"/>
  <c r="F225" i="9" s="1"/>
  <c r="F226" i="9" s="1"/>
  <c r="F227" i="9" s="1"/>
  <c r="F228" i="9" s="1"/>
  <c r="F229" i="9" s="1"/>
  <c r="F230" i="9" s="1"/>
  <c r="F231" i="9" s="1"/>
  <c r="F232" i="9" s="1"/>
  <c r="F233" i="9" s="1"/>
  <c r="F234" i="9" s="1"/>
  <c r="F235" i="9" s="1"/>
  <c r="F236" i="9" s="1"/>
  <c r="F237" i="9" s="1"/>
  <c r="F238" i="9" s="1"/>
  <c r="F239" i="9" s="1"/>
  <c r="F240" i="9" s="1"/>
  <c r="F241" i="9" s="1"/>
  <c r="F242" i="9" s="1"/>
  <c r="F243" i="9" s="1"/>
  <c r="F244" i="9" s="1"/>
  <c r="F245" i="9" s="1"/>
  <c r="F246" i="9" s="1"/>
  <c r="F247" i="9" s="1"/>
  <c r="F248" i="9" s="1"/>
  <c r="F249" i="9" s="1"/>
  <c r="F250" i="9" s="1"/>
  <c r="F251" i="9" s="1"/>
  <c r="F252" i="9" s="1"/>
  <c r="F253" i="9" s="1"/>
  <c r="F254" i="9" s="1"/>
  <c r="F255" i="9" s="1"/>
  <c r="F256" i="9" s="1"/>
  <c r="F257" i="9" s="1"/>
  <c r="F258" i="9" s="1"/>
  <c r="F259" i="9" s="1"/>
  <c r="F260" i="9" s="1"/>
  <c r="F261" i="9" s="1"/>
  <c r="F262" i="9" s="1"/>
  <c r="F263" i="9" s="1"/>
  <c r="F264" i="9" s="1"/>
  <c r="F265" i="9" s="1"/>
  <c r="F266" i="9" s="1"/>
  <c r="F267" i="9" s="1"/>
  <c r="F268" i="9" s="1"/>
  <c r="F269" i="9" s="1"/>
  <c r="F270" i="9" s="1"/>
  <c r="F271" i="9" s="1"/>
  <c r="F272" i="9" s="1"/>
  <c r="F273" i="9" s="1"/>
  <c r="F274" i="9" s="1"/>
  <c r="F275" i="9" s="1"/>
  <c r="F276" i="9" s="1"/>
  <c r="F277" i="9" s="1"/>
  <c r="F278" i="9" s="1"/>
  <c r="F279" i="9" s="1"/>
  <c r="F280" i="9" s="1"/>
  <c r="F281" i="9" s="1"/>
  <c r="F282" i="9" s="1"/>
  <c r="F283" i="9" s="1"/>
  <c r="F284" i="9" s="1"/>
  <c r="F285" i="9" s="1"/>
  <c r="F286" i="9" s="1"/>
  <c r="F287" i="9" s="1"/>
  <c r="F288" i="9" s="1"/>
  <c r="F289" i="9" s="1"/>
  <c r="F290" i="9" s="1"/>
  <c r="F291" i="9" s="1"/>
  <c r="F292" i="9" s="1"/>
  <c r="F293" i="9" s="1"/>
  <c r="F294" i="9" s="1"/>
  <c r="F295" i="9" s="1"/>
  <c r="F296" i="9" s="1"/>
  <c r="F297" i="9" s="1"/>
  <c r="F298" i="9" s="1"/>
  <c r="F299" i="9" s="1"/>
  <c r="F300" i="9" s="1"/>
  <c r="F301" i="9" s="1"/>
  <c r="F302" i="9" s="1"/>
  <c r="F303" i="9" s="1"/>
  <c r="F304" i="9" s="1"/>
  <c r="F305" i="9" s="1"/>
  <c r="F306" i="9" s="1"/>
  <c r="F307" i="9" s="1"/>
  <c r="F308" i="9" s="1"/>
  <c r="F309" i="9" s="1"/>
  <c r="F310" i="9" s="1"/>
  <c r="F311" i="9" s="1"/>
  <c r="F312" i="9" s="1"/>
  <c r="F313" i="9" s="1"/>
  <c r="F314" i="9" s="1"/>
  <c r="F315" i="9" s="1"/>
  <c r="F316" i="9" s="1"/>
  <c r="F317" i="9" s="1"/>
  <c r="F318" i="9" s="1"/>
  <c r="F319" i="9" s="1"/>
  <c r="F320" i="9" s="1"/>
  <c r="F321" i="9" s="1"/>
  <c r="F322" i="9" s="1"/>
  <c r="F323" i="9" s="1"/>
  <c r="F324" i="9" s="1"/>
  <c r="F325" i="9" s="1"/>
  <c r="F326" i="9" s="1"/>
  <c r="F327" i="9" s="1"/>
  <c r="F328" i="9" s="1"/>
  <c r="F329" i="9" s="1"/>
  <c r="F330" i="9" s="1"/>
  <c r="F331" i="9" s="1"/>
  <c r="F332" i="9" s="1"/>
  <c r="F333" i="9" s="1"/>
  <c r="F334" i="9" s="1"/>
  <c r="F335" i="9" s="1"/>
  <c r="F336" i="9" s="1"/>
  <c r="F337" i="9" s="1"/>
  <c r="F338" i="9" s="1"/>
  <c r="F339" i="9" s="1"/>
  <c r="F340" i="9" s="1"/>
  <c r="F341" i="9" s="1"/>
  <c r="F342" i="9" s="1"/>
  <c r="F343" i="9" s="1"/>
  <c r="F344" i="9" s="1"/>
  <c r="F345" i="9" s="1"/>
  <c r="F346" i="9" s="1"/>
  <c r="F347" i="9" s="1"/>
  <c r="F348" i="9" s="1"/>
  <c r="F349" i="9" s="1"/>
  <c r="F350" i="9" s="1"/>
  <c r="F351" i="9" s="1"/>
  <c r="F352" i="9" s="1"/>
  <c r="F353" i="9" s="1"/>
  <c r="F354" i="9" s="1"/>
  <c r="F355" i="9" s="1"/>
  <c r="F356" i="9" s="1"/>
  <c r="F357" i="9" s="1"/>
  <c r="F358" i="9" s="1"/>
  <c r="F359" i="9" s="1"/>
  <c r="F360" i="9" s="1"/>
  <c r="F361" i="9" s="1"/>
  <c r="F362" i="9" s="1"/>
  <c r="F363" i="9" s="1"/>
  <c r="F364" i="9" s="1"/>
  <c r="F365" i="9" s="1"/>
  <c r="F366" i="9" s="1"/>
  <c r="F367" i="9" s="1"/>
  <c r="F368" i="9" s="1"/>
  <c r="F369" i="9" s="1"/>
  <c r="F370" i="9" s="1"/>
  <c r="F371" i="9" s="1"/>
  <c r="F372" i="9" s="1"/>
  <c r="F373" i="9" s="1"/>
  <c r="F374" i="9" s="1"/>
  <c r="F375" i="9" s="1"/>
  <c r="F376" i="9" s="1"/>
  <c r="F377" i="9" s="1"/>
  <c r="F378" i="9" s="1"/>
  <c r="F379" i="9" s="1"/>
  <c r="F380" i="9" s="1"/>
  <c r="F381" i="9" s="1"/>
  <c r="F382" i="9" s="1"/>
  <c r="F383" i="9" s="1"/>
  <c r="F384" i="9" s="1"/>
  <c r="F385" i="9" s="1"/>
  <c r="F386" i="9" s="1"/>
  <c r="F387" i="9" s="1"/>
  <c r="F388" i="9" s="1"/>
  <c r="F389" i="9" s="1"/>
  <c r="F390" i="9" s="1"/>
  <c r="F391" i="9" s="1"/>
  <c r="F392" i="9" s="1"/>
  <c r="F393" i="9" s="1"/>
  <c r="F394" i="9" s="1"/>
  <c r="F395" i="9" s="1"/>
  <c r="F396" i="9" s="1"/>
  <c r="F397" i="9" s="1"/>
  <c r="F398" i="9" s="1"/>
  <c r="F399" i="9" s="1"/>
  <c r="F400" i="9" s="1"/>
  <c r="F401" i="9" s="1"/>
  <c r="F402" i="9" s="1"/>
  <c r="F403" i="9" s="1"/>
  <c r="F404" i="9" s="1"/>
  <c r="F405" i="9" s="1"/>
  <c r="F406" i="9" s="1"/>
  <c r="F407" i="9" s="1"/>
  <c r="F408" i="9" s="1"/>
  <c r="F409" i="9" s="1"/>
  <c r="F410" i="9" s="1"/>
  <c r="F411" i="9" s="1"/>
  <c r="F412" i="9" s="1"/>
  <c r="F413" i="9" s="1"/>
  <c r="F414" i="9" s="1"/>
  <c r="F415" i="9" s="1"/>
  <c r="F416" i="9" s="1"/>
  <c r="F417" i="9" s="1"/>
  <c r="F418" i="9" s="1"/>
  <c r="F419" i="9" s="1"/>
  <c r="F420" i="9" s="1"/>
  <c r="F421" i="9" s="1"/>
  <c r="F422" i="9" s="1"/>
  <c r="F423" i="9" s="1"/>
  <c r="F424" i="9" s="1"/>
  <c r="F425" i="9" s="1"/>
  <c r="F426" i="9" s="1"/>
  <c r="F427" i="9" s="1"/>
  <c r="F428" i="9" s="1"/>
  <c r="F429" i="9" s="1"/>
  <c r="F430" i="9" s="1"/>
  <c r="H73" i="9" l="1"/>
  <c r="I73" i="9"/>
  <c r="G74" i="9"/>
  <c r="Q73" i="9"/>
  <c r="R73" i="9" s="1"/>
  <c r="R71" i="9"/>
  <c r="S72" i="9"/>
  <c r="T72" i="9" s="1"/>
  <c r="S73" i="9" l="1"/>
  <c r="T73" i="9" s="1"/>
  <c r="G75" i="9"/>
  <c r="Q74" i="9"/>
  <c r="I74" i="9"/>
  <c r="H74" i="9"/>
  <c r="H75" i="9" l="1"/>
  <c r="R74" i="9"/>
  <c r="S74" i="9"/>
  <c r="T74" i="9" s="1"/>
  <c r="G76" i="9"/>
  <c r="Q75" i="9"/>
  <c r="I75" i="9"/>
  <c r="R75" i="9" l="1"/>
  <c r="S75" i="9"/>
  <c r="T75" i="9" s="1"/>
  <c r="G77" i="9"/>
  <c r="Q76" i="9"/>
  <c r="I76" i="9"/>
  <c r="H76" i="9"/>
  <c r="K4" i="12"/>
  <c r="H77" i="9" l="1"/>
  <c r="R76" i="9"/>
  <c r="S76" i="9"/>
  <c r="T76" i="9" s="1"/>
  <c r="G78" i="9"/>
  <c r="Q77" i="9"/>
  <c r="I77" i="9"/>
  <c r="G79" i="9" l="1"/>
  <c r="Q78" i="9"/>
  <c r="I78" i="9"/>
  <c r="R77" i="9"/>
  <c r="S77" i="9"/>
  <c r="T77" i="9" s="1"/>
  <c r="H78" i="9"/>
  <c r="G80" i="9" l="1"/>
  <c r="Q79" i="9"/>
  <c r="I79" i="9"/>
  <c r="H79" i="9"/>
  <c r="R78" i="9"/>
  <c r="S78" i="9"/>
  <c r="T78" i="9" s="1"/>
  <c r="H80" i="9" l="1"/>
  <c r="R79" i="9"/>
  <c r="S79" i="9"/>
  <c r="T79" i="9" s="1"/>
  <c r="G81" i="9"/>
  <c r="Q80" i="9"/>
  <c r="I80" i="9"/>
  <c r="H81" i="9" l="1"/>
  <c r="R80" i="9"/>
  <c r="S80" i="9"/>
  <c r="T80" i="9" s="1"/>
  <c r="G82" i="9"/>
  <c r="Q81" i="9"/>
  <c r="I81" i="9"/>
  <c r="H82" i="9" l="1"/>
  <c r="R81" i="9"/>
  <c r="S81" i="9"/>
  <c r="T81" i="9" s="1"/>
  <c r="G83" i="9"/>
  <c r="Q82" i="9"/>
  <c r="I82" i="9"/>
  <c r="H83" i="9" l="1"/>
  <c r="G84" i="9"/>
  <c r="Q83" i="9"/>
  <c r="I83" i="9"/>
  <c r="R82" i="9"/>
  <c r="S82" i="9"/>
  <c r="T82" i="9" s="1"/>
  <c r="R83" i="9" l="1"/>
  <c r="S83" i="9"/>
  <c r="T83" i="9" s="1"/>
  <c r="G85" i="9"/>
  <c r="Q84" i="9"/>
  <c r="I84" i="9"/>
  <c r="H84" i="9"/>
  <c r="H85" i="9" l="1"/>
  <c r="R84" i="9"/>
  <c r="S84" i="9"/>
  <c r="T84" i="9" s="1"/>
  <c r="G86" i="9"/>
  <c r="Q85" i="9"/>
  <c r="I85" i="9"/>
  <c r="H86" i="9" l="1"/>
  <c r="R85" i="9"/>
  <c r="S85" i="9"/>
  <c r="T85" i="9" s="1"/>
  <c r="G87" i="9"/>
  <c r="Q86" i="9"/>
  <c r="I86" i="9"/>
  <c r="H87" i="9" l="1"/>
  <c r="R86" i="9"/>
  <c r="S86" i="9"/>
  <c r="T86" i="9" s="1"/>
  <c r="G88" i="9"/>
  <c r="Q87" i="9"/>
  <c r="I87" i="9"/>
  <c r="R87" i="9" l="1"/>
  <c r="S87" i="9"/>
  <c r="T87" i="9" s="1"/>
  <c r="G89" i="9"/>
  <c r="Q88" i="9"/>
  <c r="I88" i="9"/>
  <c r="H88" i="9"/>
  <c r="H89" i="9" l="1"/>
  <c r="R88" i="9"/>
  <c r="S88" i="9"/>
  <c r="T88" i="9" s="1"/>
  <c r="G90" i="9"/>
  <c r="Q89" i="9"/>
  <c r="I89" i="9"/>
  <c r="G91" i="9" l="1"/>
  <c r="Q90" i="9"/>
  <c r="I90" i="9"/>
  <c r="R89" i="9"/>
  <c r="S89" i="9"/>
  <c r="T89" i="9" s="1"/>
  <c r="H90" i="9"/>
  <c r="H91" i="9" l="1"/>
  <c r="R90" i="9"/>
  <c r="S90" i="9"/>
  <c r="T90" i="9" s="1"/>
  <c r="G92" i="9"/>
  <c r="Q91" i="9"/>
  <c r="I91" i="9"/>
  <c r="G93" i="9" l="1"/>
  <c r="Q92" i="9"/>
  <c r="I92" i="9"/>
  <c r="H92" i="9"/>
  <c r="R91" i="9"/>
  <c r="S91" i="9"/>
  <c r="T91" i="9" s="1"/>
  <c r="H93" i="9" l="1"/>
  <c r="R92" i="9"/>
  <c r="S92" i="9"/>
  <c r="T92" i="9" s="1"/>
  <c r="G94" i="9"/>
  <c r="Q93" i="9"/>
  <c r="I93" i="9"/>
  <c r="G95" i="9" l="1"/>
  <c r="Q94" i="9"/>
  <c r="I94" i="9"/>
  <c r="R93" i="9"/>
  <c r="S93" i="9"/>
  <c r="T93" i="9" s="1"/>
  <c r="H94" i="9"/>
  <c r="H95" i="9" l="1"/>
  <c r="R94" i="9"/>
  <c r="S94" i="9"/>
  <c r="T94" i="9" s="1"/>
  <c r="G96" i="9"/>
  <c r="Q95" i="9"/>
  <c r="I95" i="9"/>
  <c r="G97" i="9" l="1"/>
  <c r="Q96" i="9"/>
  <c r="I96" i="9"/>
  <c r="R95" i="9"/>
  <c r="S95" i="9"/>
  <c r="T95" i="9" s="1"/>
  <c r="H96" i="9"/>
  <c r="H97" i="9" l="1"/>
  <c r="R96" i="9"/>
  <c r="S96" i="9"/>
  <c r="T96" i="9" s="1"/>
  <c r="G98" i="9"/>
  <c r="Q97" i="9"/>
  <c r="I97" i="9"/>
  <c r="G99" i="9" l="1"/>
  <c r="Q98" i="9"/>
  <c r="I98" i="9"/>
  <c r="H98" i="9"/>
  <c r="R97" i="9"/>
  <c r="S97" i="9"/>
  <c r="T97" i="9" s="1"/>
  <c r="H99" i="9" l="1"/>
  <c r="R98" i="9"/>
  <c r="S98" i="9"/>
  <c r="T98" i="9" s="1"/>
  <c r="G100" i="9"/>
  <c r="Q99" i="9"/>
  <c r="I99" i="9"/>
  <c r="R99" i="9" l="1"/>
  <c r="S99" i="9"/>
  <c r="T99" i="9" s="1"/>
  <c r="G101" i="9"/>
  <c r="Q100" i="9"/>
  <c r="I100" i="9"/>
  <c r="H100" i="9"/>
  <c r="H101" i="9" l="1"/>
  <c r="R100" i="9"/>
  <c r="S100" i="9"/>
  <c r="T100" i="9" s="1"/>
  <c r="G102" i="9"/>
  <c r="Q101" i="9"/>
  <c r="I101" i="9"/>
  <c r="H102" i="9" l="1"/>
  <c r="R101" i="9"/>
  <c r="S101" i="9"/>
  <c r="T101" i="9" s="1"/>
  <c r="G103" i="9"/>
  <c r="Q102" i="9"/>
  <c r="I102" i="9"/>
  <c r="H103" i="9" l="1"/>
  <c r="R102" i="9"/>
  <c r="S102" i="9"/>
  <c r="T102" i="9" s="1"/>
  <c r="G104" i="9"/>
  <c r="Q103" i="9"/>
  <c r="I103" i="9"/>
  <c r="G105" i="9" l="1"/>
  <c r="Q104" i="9"/>
  <c r="I104" i="9"/>
  <c r="R103" i="9"/>
  <c r="S103" i="9"/>
  <c r="T103" i="9" s="1"/>
  <c r="H104" i="9"/>
  <c r="H105" i="9" l="1"/>
  <c r="R104" i="9"/>
  <c r="S104" i="9"/>
  <c r="T104" i="9" s="1"/>
  <c r="G106" i="9"/>
  <c r="Q105" i="9"/>
  <c r="I105" i="9"/>
  <c r="G107" i="9" l="1"/>
  <c r="Q106" i="9"/>
  <c r="I106" i="9"/>
  <c r="H106" i="9"/>
  <c r="R105" i="9"/>
  <c r="S105" i="9"/>
  <c r="T105" i="9" s="1"/>
  <c r="H107" i="9" l="1"/>
  <c r="R106" i="9"/>
  <c r="S106" i="9"/>
  <c r="T106" i="9" s="1"/>
  <c r="G108" i="9"/>
  <c r="Q107" i="9"/>
  <c r="I107" i="9"/>
  <c r="G109" i="9" l="1"/>
  <c r="Q108" i="9"/>
  <c r="I108" i="9"/>
  <c r="R107" i="9"/>
  <c r="S107" i="9"/>
  <c r="T107" i="9" s="1"/>
  <c r="H108" i="9"/>
  <c r="H109" i="9" l="1"/>
  <c r="R108" i="9"/>
  <c r="S108" i="9"/>
  <c r="T108" i="9" s="1"/>
  <c r="G110" i="9"/>
  <c r="Q109" i="9"/>
  <c r="I109" i="9"/>
  <c r="H110" i="9" l="1"/>
  <c r="R109" i="9"/>
  <c r="S109" i="9"/>
  <c r="T109" i="9" s="1"/>
  <c r="G111" i="9"/>
  <c r="Q110" i="9"/>
  <c r="I110" i="9"/>
  <c r="G112" i="9" l="1"/>
  <c r="Q111" i="9"/>
  <c r="I111" i="9"/>
  <c r="R110" i="9"/>
  <c r="S110" i="9"/>
  <c r="T110" i="9" s="1"/>
  <c r="H111" i="9"/>
  <c r="H112" i="9" l="1"/>
  <c r="R111" i="9"/>
  <c r="S111" i="9"/>
  <c r="T111" i="9" s="1"/>
  <c r="G113" i="9"/>
  <c r="Q112" i="9"/>
  <c r="I112" i="9"/>
  <c r="G114" i="9" l="1"/>
  <c r="Q113" i="9"/>
  <c r="I113" i="9"/>
  <c r="R112" i="9"/>
  <c r="S112" i="9"/>
  <c r="T112" i="9" s="1"/>
  <c r="H113" i="9"/>
  <c r="H114" i="9" l="1"/>
  <c r="R113" i="9"/>
  <c r="S113" i="9"/>
  <c r="T113" i="9" s="1"/>
  <c r="G115" i="9"/>
  <c r="Q114" i="9"/>
  <c r="I114" i="9"/>
  <c r="G116" i="9" l="1"/>
  <c r="Q115" i="9"/>
  <c r="I115" i="9"/>
  <c r="R114" i="9"/>
  <c r="S114" i="9"/>
  <c r="T114" i="9" s="1"/>
  <c r="H115" i="9"/>
  <c r="H116" i="9" l="1"/>
  <c r="R115" i="9"/>
  <c r="S115" i="9"/>
  <c r="T115" i="9" s="1"/>
  <c r="G117" i="9"/>
  <c r="Q116" i="9"/>
  <c r="I116" i="9"/>
  <c r="G118" i="9" l="1"/>
  <c r="Q117" i="9"/>
  <c r="I117" i="9"/>
  <c r="H117" i="9"/>
  <c r="R116" i="9"/>
  <c r="S116" i="9"/>
  <c r="T116" i="9" s="1"/>
  <c r="H118" i="9" l="1"/>
  <c r="R117" i="9"/>
  <c r="S117" i="9"/>
  <c r="T117" i="9" s="1"/>
  <c r="G119" i="9"/>
  <c r="Q118" i="9"/>
  <c r="I118" i="9"/>
  <c r="R118" i="9" l="1"/>
  <c r="S118" i="9"/>
  <c r="T118" i="9" s="1"/>
  <c r="G120" i="9"/>
  <c r="Q119" i="9"/>
  <c r="I119" i="9"/>
  <c r="H119" i="9"/>
  <c r="G121" i="9" l="1"/>
  <c r="Q120" i="9"/>
  <c r="I120" i="9"/>
  <c r="R119" i="9"/>
  <c r="S119" i="9"/>
  <c r="T119" i="9" s="1"/>
  <c r="H120" i="9"/>
  <c r="H121" i="9" l="1"/>
  <c r="R120" i="9"/>
  <c r="S120" i="9"/>
  <c r="T120" i="9" s="1"/>
  <c r="G122" i="9"/>
  <c r="Q121" i="9"/>
  <c r="I121" i="9"/>
  <c r="G123" i="9" l="1"/>
  <c r="Q122" i="9"/>
  <c r="I122" i="9"/>
  <c r="R121" i="9"/>
  <c r="S121" i="9"/>
  <c r="T121" i="9" s="1"/>
  <c r="H122" i="9"/>
  <c r="H123" i="9" l="1"/>
  <c r="R122" i="9"/>
  <c r="S122" i="9"/>
  <c r="T122" i="9" s="1"/>
  <c r="G124" i="9"/>
  <c r="Q123" i="9"/>
  <c r="I123" i="9"/>
  <c r="G125" i="9" l="1"/>
  <c r="Q124" i="9"/>
  <c r="I124" i="9"/>
  <c r="H124" i="9"/>
  <c r="R123" i="9"/>
  <c r="S123" i="9"/>
  <c r="T123" i="9" s="1"/>
  <c r="H125" i="9" l="1"/>
  <c r="R124" i="9"/>
  <c r="S124" i="9"/>
  <c r="T124" i="9" s="1"/>
  <c r="G126" i="9"/>
  <c r="Q125" i="9"/>
  <c r="I125" i="9"/>
  <c r="G127" i="9" l="1"/>
  <c r="Q126" i="9"/>
  <c r="I126" i="9"/>
  <c r="R125" i="9"/>
  <c r="S125" i="9"/>
  <c r="T125" i="9" s="1"/>
  <c r="H126" i="9"/>
  <c r="H127" i="9" l="1"/>
  <c r="R126" i="9"/>
  <c r="S126" i="9"/>
  <c r="T126" i="9" s="1"/>
  <c r="G128" i="9"/>
  <c r="Q127" i="9"/>
  <c r="I127" i="9"/>
  <c r="G129" i="9" l="1"/>
  <c r="Q128" i="9"/>
  <c r="I128" i="9"/>
  <c r="H128" i="9"/>
  <c r="R127" i="9"/>
  <c r="S127" i="9"/>
  <c r="T127" i="9" s="1"/>
  <c r="H129" i="9" l="1"/>
  <c r="R128" i="9"/>
  <c r="S128" i="9"/>
  <c r="T128" i="9" s="1"/>
  <c r="G130" i="9"/>
  <c r="Q129" i="9"/>
  <c r="I129" i="9"/>
  <c r="G131" i="9" l="1"/>
  <c r="Q130" i="9"/>
  <c r="I130" i="9"/>
  <c r="R129" i="9"/>
  <c r="S129" i="9"/>
  <c r="T129" i="9" s="1"/>
  <c r="H130" i="9"/>
  <c r="H131" i="9" l="1"/>
  <c r="R130" i="9"/>
  <c r="S130" i="9"/>
  <c r="T130" i="9" s="1"/>
  <c r="G132" i="9"/>
  <c r="Q131" i="9"/>
  <c r="I131" i="9"/>
  <c r="G133" i="9" l="1"/>
  <c r="Q132" i="9"/>
  <c r="I132" i="9"/>
  <c r="H132" i="9"/>
  <c r="R131" i="9"/>
  <c r="S131" i="9"/>
  <c r="T131" i="9" s="1"/>
  <c r="H133" i="9" l="1"/>
  <c r="R132" i="9"/>
  <c r="S132" i="9"/>
  <c r="T132" i="9" s="1"/>
  <c r="G134" i="9"/>
  <c r="Q133" i="9"/>
  <c r="I133" i="9"/>
  <c r="G135" i="9" l="1"/>
  <c r="Q134" i="9"/>
  <c r="I134" i="9"/>
  <c r="R133" i="9"/>
  <c r="S133" i="9"/>
  <c r="T133" i="9" s="1"/>
  <c r="H134" i="9"/>
  <c r="H135" i="9" l="1"/>
  <c r="R134" i="9"/>
  <c r="S134" i="9"/>
  <c r="T134" i="9" s="1"/>
  <c r="G136" i="9"/>
  <c r="Q135" i="9"/>
  <c r="I135" i="9"/>
  <c r="G137" i="9" l="1"/>
  <c r="Q136" i="9"/>
  <c r="I136" i="9"/>
  <c r="H136" i="9"/>
  <c r="R135" i="9"/>
  <c r="S135" i="9"/>
  <c r="T135" i="9" s="1"/>
  <c r="H137" i="9" l="1"/>
  <c r="R136" i="9"/>
  <c r="S136" i="9"/>
  <c r="T136" i="9" s="1"/>
  <c r="G138" i="9"/>
  <c r="Q137" i="9"/>
  <c r="I137" i="9"/>
  <c r="G139" i="9" l="1"/>
  <c r="Q138" i="9"/>
  <c r="I138" i="9"/>
  <c r="R137" i="9"/>
  <c r="S137" i="9"/>
  <c r="T137" i="9" s="1"/>
  <c r="H138" i="9"/>
  <c r="H139" i="9" l="1"/>
  <c r="R138" i="9"/>
  <c r="S138" i="9"/>
  <c r="T138" i="9" s="1"/>
  <c r="G140" i="9"/>
  <c r="Q139" i="9"/>
  <c r="I139" i="9"/>
  <c r="R139" i="9" l="1"/>
  <c r="S139" i="9"/>
  <c r="T139" i="9" s="1"/>
  <c r="G141" i="9"/>
  <c r="Q140" i="9"/>
  <c r="I140" i="9"/>
  <c r="H140" i="9"/>
  <c r="H141" i="9" l="1"/>
  <c r="R140" i="9"/>
  <c r="S140" i="9"/>
  <c r="T140" i="9" s="1"/>
  <c r="G142" i="9"/>
  <c r="Q141" i="9"/>
  <c r="I141" i="9"/>
  <c r="H142" i="9" l="1"/>
  <c r="R141" i="9"/>
  <c r="S141" i="9"/>
  <c r="T141" i="9" s="1"/>
  <c r="G143" i="9"/>
  <c r="Q142" i="9"/>
  <c r="I142" i="9"/>
  <c r="R142" i="9" l="1"/>
  <c r="S142" i="9"/>
  <c r="T142" i="9" s="1"/>
  <c r="G144" i="9"/>
  <c r="Q143" i="9"/>
  <c r="I143" i="9"/>
  <c r="H143" i="9"/>
  <c r="H144" i="9" l="1"/>
  <c r="R143" i="9"/>
  <c r="S143" i="9"/>
  <c r="T143" i="9" s="1"/>
  <c r="G145" i="9"/>
  <c r="Q144" i="9"/>
  <c r="I144" i="9"/>
  <c r="G146" i="9" l="1"/>
  <c r="Q145" i="9"/>
  <c r="I145" i="9"/>
  <c r="R144" i="9"/>
  <c r="S144" i="9"/>
  <c r="T144" i="9" s="1"/>
  <c r="H145" i="9"/>
  <c r="H146" i="9" l="1"/>
  <c r="R145" i="9"/>
  <c r="S145" i="9"/>
  <c r="T145" i="9" s="1"/>
  <c r="G147" i="9"/>
  <c r="Q146" i="9"/>
  <c r="I146" i="9"/>
  <c r="G148" i="9" l="1"/>
  <c r="Q147" i="9"/>
  <c r="I147" i="9"/>
  <c r="R146" i="9"/>
  <c r="S146" i="9"/>
  <c r="T146" i="9" s="1"/>
  <c r="H147" i="9"/>
  <c r="H148" i="9" l="1"/>
  <c r="R147" i="9"/>
  <c r="S147" i="9"/>
  <c r="T147" i="9" s="1"/>
  <c r="G149" i="9"/>
  <c r="Q148" i="9"/>
  <c r="I148" i="9"/>
  <c r="G150" i="9" l="1"/>
  <c r="Q149" i="9"/>
  <c r="I149" i="9"/>
  <c r="H149" i="9"/>
  <c r="R148" i="9"/>
  <c r="S148" i="9"/>
  <c r="T148" i="9" s="1"/>
  <c r="H150" i="9" l="1"/>
  <c r="R149" i="9"/>
  <c r="S149" i="9"/>
  <c r="T149" i="9" s="1"/>
  <c r="G151" i="9"/>
  <c r="Q150" i="9"/>
  <c r="I150" i="9"/>
  <c r="G152" i="9" l="1"/>
  <c r="Q151" i="9"/>
  <c r="I151" i="9"/>
  <c r="R150" i="9"/>
  <c r="S150" i="9"/>
  <c r="T150" i="9" s="1"/>
  <c r="H151" i="9"/>
  <c r="H152" i="9" l="1"/>
  <c r="R151" i="9"/>
  <c r="S151" i="9"/>
  <c r="T151" i="9" s="1"/>
  <c r="G153" i="9"/>
  <c r="Q152" i="9"/>
  <c r="I152" i="9"/>
  <c r="G154" i="9" l="1"/>
  <c r="Q153" i="9"/>
  <c r="I153" i="9"/>
  <c r="H153" i="9"/>
  <c r="R152" i="9"/>
  <c r="S152" i="9"/>
  <c r="T152" i="9" s="1"/>
  <c r="H154" i="9" l="1"/>
  <c r="R153" i="9"/>
  <c r="S153" i="9"/>
  <c r="T153" i="9" s="1"/>
  <c r="G155" i="9"/>
  <c r="Q154" i="9"/>
  <c r="I154" i="9"/>
  <c r="G156" i="9" l="1"/>
  <c r="Q155" i="9"/>
  <c r="I155" i="9"/>
  <c r="R154" i="9"/>
  <c r="S154" i="9"/>
  <c r="T154" i="9" s="1"/>
  <c r="H155" i="9"/>
  <c r="H156" i="9" l="1"/>
  <c r="R155" i="9"/>
  <c r="S155" i="9"/>
  <c r="T155" i="9" s="1"/>
  <c r="G157" i="9"/>
  <c r="Q156" i="9"/>
  <c r="I156" i="9"/>
  <c r="G158" i="9" l="1"/>
  <c r="Q157" i="9"/>
  <c r="I157" i="9"/>
  <c r="H157" i="9"/>
  <c r="R156" i="9"/>
  <c r="S156" i="9"/>
  <c r="T156" i="9" s="1"/>
  <c r="H158" i="9" l="1"/>
  <c r="R157" i="9"/>
  <c r="S157" i="9"/>
  <c r="T157" i="9" s="1"/>
  <c r="G159" i="9"/>
  <c r="Q158" i="9"/>
  <c r="I158" i="9"/>
  <c r="G160" i="9" l="1"/>
  <c r="Q159" i="9"/>
  <c r="I159" i="9"/>
  <c r="R158" i="9"/>
  <c r="S158" i="9"/>
  <c r="T158" i="9" s="1"/>
  <c r="H159" i="9"/>
  <c r="H160" i="9" l="1"/>
  <c r="R159" i="9"/>
  <c r="S159" i="9"/>
  <c r="T159" i="9" s="1"/>
  <c r="G161" i="9"/>
  <c r="Q160" i="9"/>
  <c r="I160" i="9"/>
  <c r="H161" i="9" l="1"/>
  <c r="G162" i="9"/>
  <c r="Q161" i="9"/>
  <c r="I161" i="9"/>
  <c r="R160" i="9"/>
  <c r="S160" i="9"/>
  <c r="T160" i="9" s="1"/>
  <c r="R161" i="9" l="1"/>
  <c r="S161" i="9"/>
  <c r="T161" i="9" s="1"/>
  <c r="G163" i="9"/>
  <c r="Q162" i="9"/>
  <c r="I162" i="9"/>
  <c r="H162" i="9"/>
  <c r="H163" i="9" l="1"/>
  <c r="R162" i="9"/>
  <c r="S162" i="9"/>
  <c r="T162" i="9" s="1"/>
  <c r="G164" i="9"/>
  <c r="Q163" i="9"/>
  <c r="I163" i="9"/>
  <c r="G165" i="9" l="1"/>
  <c r="Q164" i="9"/>
  <c r="I164" i="9"/>
  <c r="R163" i="9"/>
  <c r="S163" i="9"/>
  <c r="T163" i="9" s="1"/>
  <c r="H164" i="9"/>
  <c r="H165" i="9" l="1"/>
  <c r="R164" i="9"/>
  <c r="S164" i="9"/>
  <c r="T164" i="9" s="1"/>
  <c r="G166" i="9"/>
  <c r="Q165" i="9"/>
  <c r="I165" i="9"/>
  <c r="G167" i="9" l="1"/>
  <c r="Q166" i="9"/>
  <c r="I166" i="9"/>
  <c r="H166" i="9"/>
  <c r="R165" i="9"/>
  <c r="S165" i="9"/>
  <c r="T165" i="9" s="1"/>
  <c r="H167" i="9" l="1"/>
  <c r="R166" i="9"/>
  <c r="S166" i="9"/>
  <c r="T166" i="9" s="1"/>
  <c r="G168" i="9"/>
  <c r="Q167" i="9"/>
  <c r="I167" i="9"/>
  <c r="G169" i="9" l="1"/>
  <c r="Q168" i="9"/>
  <c r="I168" i="9"/>
  <c r="R167" i="9"/>
  <c r="S167" i="9"/>
  <c r="T167" i="9" s="1"/>
  <c r="H168" i="9"/>
  <c r="H169" i="9" l="1"/>
  <c r="R168" i="9"/>
  <c r="S168" i="9"/>
  <c r="T168" i="9" s="1"/>
  <c r="G170" i="9"/>
  <c r="Q169" i="9"/>
  <c r="I169" i="9"/>
  <c r="G171" i="9" l="1"/>
  <c r="Q170" i="9"/>
  <c r="I170" i="9"/>
  <c r="H170" i="9"/>
  <c r="R169" i="9"/>
  <c r="S169" i="9"/>
  <c r="T169" i="9" s="1"/>
  <c r="H171" i="9" l="1"/>
  <c r="R170" i="9"/>
  <c r="S170" i="9"/>
  <c r="T170" i="9" s="1"/>
  <c r="G172" i="9"/>
  <c r="Q171" i="9"/>
  <c r="I171" i="9"/>
  <c r="G173" i="9" l="1"/>
  <c r="Q172" i="9"/>
  <c r="I172" i="9"/>
  <c r="R171" i="9"/>
  <c r="S171" i="9"/>
  <c r="T171" i="9" s="1"/>
  <c r="H172" i="9"/>
  <c r="H173" i="9" l="1"/>
  <c r="R172" i="9"/>
  <c r="S172" i="9"/>
  <c r="T172" i="9" s="1"/>
  <c r="G174" i="9"/>
  <c r="Q173" i="9"/>
  <c r="I173" i="9"/>
  <c r="H174" i="9" l="1"/>
  <c r="G175" i="9"/>
  <c r="Q174" i="9"/>
  <c r="I174" i="9"/>
  <c r="R173" i="9"/>
  <c r="S173" i="9"/>
  <c r="T173" i="9" s="1"/>
  <c r="R174" i="9" l="1"/>
  <c r="S174" i="9"/>
  <c r="T174" i="9" s="1"/>
  <c r="G176" i="9"/>
  <c r="Q175" i="9"/>
  <c r="I175" i="9"/>
  <c r="H175" i="9"/>
  <c r="G177" i="9" l="1"/>
  <c r="Q176" i="9"/>
  <c r="I176" i="9"/>
  <c r="R175" i="9"/>
  <c r="S175" i="9"/>
  <c r="T175" i="9" s="1"/>
  <c r="H176" i="9"/>
  <c r="H177" i="9" l="1"/>
  <c r="R176" i="9"/>
  <c r="S176" i="9"/>
  <c r="T176" i="9" s="1"/>
  <c r="G178" i="9"/>
  <c r="Q177" i="9"/>
  <c r="I177" i="9"/>
  <c r="G179" i="9" l="1"/>
  <c r="Q178" i="9"/>
  <c r="I178" i="9"/>
  <c r="H178" i="9"/>
  <c r="R177" i="9"/>
  <c r="S177" i="9"/>
  <c r="T177" i="9" s="1"/>
  <c r="H179" i="9" l="1"/>
  <c r="R178" i="9"/>
  <c r="S178" i="9"/>
  <c r="T178" i="9" s="1"/>
  <c r="G180" i="9"/>
  <c r="Q179" i="9"/>
  <c r="I179" i="9"/>
  <c r="G181" i="9" l="1"/>
  <c r="Q180" i="9"/>
  <c r="I180" i="9"/>
  <c r="R179" i="9"/>
  <c r="S179" i="9"/>
  <c r="T179" i="9" s="1"/>
  <c r="H180" i="9"/>
  <c r="H181" i="9" l="1"/>
  <c r="R180" i="9"/>
  <c r="S180" i="9"/>
  <c r="T180" i="9" s="1"/>
  <c r="G182" i="9"/>
  <c r="Q181" i="9"/>
  <c r="I181" i="9"/>
  <c r="G183" i="9" l="1"/>
  <c r="Q182" i="9"/>
  <c r="I182" i="9"/>
  <c r="H182" i="9"/>
  <c r="R181" i="9"/>
  <c r="S181" i="9"/>
  <c r="T181" i="9" s="1"/>
  <c r="H183" i="9" l="1"/>
  <c r="R182" i="9"/>
  <c r="S182" i="9"/>
  <c r="T182" i="9" s="1"/>
  <c r="G184" i="9"/>
  <c r="Q183" i="9"/>
  <c r="I183" i="9"/>
  <c r="G185" i="9" l="1"/>
  <c r="Q184" i="9"/>
  <c r="I184" i="9"/>
  <c r="R183" i="9"/>
  <c r="S183" i="9"/>
  <c r="T183" i="9" s="1"/>
  <c r="H184" i="9"/>
  <c r="H185" i="9" l="1"/>
  <c r="R184" i="9"/>
  <c r="S184" i="9"/>
  <c r="T184" i="9" s="1"/>
  <c r="G186" i="9"/>
  <c r="Q185" i="9"/>
  <c r="I185" i="9"/>
  <c r="G187" i="9" l="1"/>
  <c r="Q186" i="9"/>
  <c r="I186" i="9"/>
  <c r="H186" i="9"/>
  <c r="R185" i="9"/>
  <c r="S185" i="9"/>
  <c r="T185" i="9" s="1"/>
  <c r="H187" i="9" l="1"/>
  <c r="R186" i="9"/>
  <c r="S186" i="9"/>
  <c r="T186" i="9" s="1"/>
  <c r="G188" i="9"/>
  <c r="Q187" i="9"/>
  <c r="I187" i="9"/>
  <c r="G189" i="9" l="1"/>
  <c r="Q188" i="9"/>
  <c r="I188" i="9"/>
  <c r="R187" i="9"/>
  <c r="S187" i="9"/>
  <c r="T187" i="9" s="1"/>
  <c r="H188" i="9"/>
  <c r="H189" i="9" l="1"/>
  <c r="R188" i="9"/>
  <c r="S188" i="9"/>
  <c r="T188" i="9" s="1"/>
  <c r="G190" i="9"/>
  <c r="Q189" i="9"/>
  <c r="I189" i="9"/>
  <c r="G191" i="9" l="1"/>
  <c r="Q190" i="9"/>
  <c r="I190" i="9"/>
  <c r="H190" i="9"/>
  <c r="R189" i="9"/>
  <c r="S189" i="9"/>
  <c r="T189" i="9" s="1"/>
  <c r="H191" i="9" l="1"/>
  <c r="R190" i="9"/>
  <c r="G13" i="12" s="1"/>
  <c r="S190" i="9"/>
  <c r="T190" i="9" s="1"/>
  <c r="G192" i="9"/>
  <c r="Q191" i="9"/>
  <c r="I191" i="9"/>
  <c r="G193" i="9" l="1"/>
  <c r="Q192" i="9"/>
  <c r="I192" i="9"/>
  <c r="R191" i="9"/>
  <c r="S191" i="9"/>
  <c r="T191" i="9" s="1"/>
  <c r="H192" i="9"/>
  <c r="H193" i="9" l="1"/>
  <c r="R192" i="9"/>
  <c r="S192" i="9"/>
  <c r="T192" i="9" s="1"/>
  <c r="G194" i="9"/>
  <c r="Q193" i="9"/>
  <c r="I193" i="9"/>
  <c r="G195" i="9" l="1"/>
  <c r="Q194" i="9"/>
  <c r="I194" i="9"/>
  <c r="R193" i="9"/>
  <c r="S193" i="9"/>
  <c r="T193" i="9" s="1"/>
  <c r="H194" i="9"/>
  <c r="H195" i="9" l="1"/>
  <c r="R194" i="9"/>
  <c r="S194" i="9"/>
  <c r="T194" i="9" s="1"/>
  <c r="G196" i="9"/>
  <c r="Q195" i="9"/>
  <c r="I195" i="9"/>
  <c r="H196" i="9" l="1"/>
  <c r="G197" i="9"/>
  <c r="Q196" i="9"/>
  <c r="I196" i="9"/>
  <c r="R195" i="9"/>
  <c r="S195" i="9"/>
  <c r="T195" i="9" s="1"/>
  <c r="R196" i="9" l="1"/>
  <c r="S196" i="9"/>
  <c r="T196" i="9" s="1"/>
  <c r="G198" i="9"/>
  <c r="Q197" i="9"/>
  <c r="I197" i="9"/>
  <c r="H197" i="9"/>
  <c r="H198" i="9" l="1"/>
  <c r="R197" i="9"/>
  <c r="S197" i="9"/>
  <c r="T197" i="9" s="1"/>
  <c r="G199" i="9"/>
  <c r="Q198" i="9"/>
  <c r="I198" i="9"/>
  <c r="H199" i="9" l="1"/>
  <c r="R198" i="9"/>
  <c r="S198" i="9"/>
  <c r="T198" i="9" s="1"/>
  <c r="G200" i="9"/>
  <c r="Q199" i="9"/>
  <c r="I199" i="9"/>
  <c r="H200" i="9" l="1"/>
  <c r="R199" i="9"/>
  <c r="S199" i="9"/>
  <c r="T199" i="9" s="1"/>
  <c r="G201" i="9"/>
  <c r="Q200" i="9"/>
  <c r="I200" i="9"/>
  <c r="H201" i="9" l="1"/>
  <c r="R200" i="9"/>
  <c r="S200" i="9"/>
  <c r="T200" i="9" s="1"/>
  <c r="G202" i="9"/>
  <c r="Q201" i="9"/>
  <c r="I201" i="9"/>
  <c r="G203" i="9" l="1"/>
  <c r="Q202" i="9"/>
  <c r="I202" i="9"/>
  <c r="R201" i="9"/>
  <c r="S201" i="9"/>
  <c r="T201" i="9" s="1"/>
  <c r="H202" i="9"/>
  <c r="H203" i="9" l="1"/>
  <c r="R202" i="9"/>
  <c r="S202" i="9"/>
  <c r="T202" i="9" s="1"/>
  <c r="G204" i="9"/>
  <c r="Q203" i="9"/>
  <c r="I203" i="9"/>
  <c r="G205" i="9" l="1"/>
  <c r="Q204" i="9"/>
  <c r="I204" i="9"/>
  <c r="H204" i="9"/>
  <c r="R203" i="9"/>
  <c r="S203" i="9"/>
  <c r="T203" i="9" s="1"/>
  <c r="H205" i="9" l="1"/>
  <c r="R204" i="9"/>
  <c r="S204" i="9"/>
  <c r="T204" i="9" s="1"/>
  <c r="G206" i="9"/>
  <c r="Q205" i="9"/>
  <c r="I205" i="9"/>
  <c r="G207" i="9" l="1"/>
  <c r="Q206" i="9"/>
  <c r="I206" i="9"/>
  <c r="R205" i="9"/>
  <c r="S205" i="9"/>
  <c r="T205" i="9" s="1"/>
  <c r="H206" i="9"/>
  <c r="H207" i="9" l="1"/>
  <c r="R206" i="9"/>
  <c r="S206" i="9"/>
  <c r="T206" i="9" s="1"/>
  <c r="G208" i="9"/>
  <c r="Q207" i="9"/>
  <c r="I207" i="9"/>
  <c r="G209" i="9" l="1"/>
  <c r="Q208" i="9"/>
  <c r="I208" i="9"/>
  <c r="H208" i="9"/>
  <c r="R207" i="9"/>
  <c r="S207" i="9"/>
  <c r="T207" i="9" s="1"/>
  <c r="H209" i="9" l="1"/>
  <c r="R208" i="9"/>
  <c r="S208" i="9"/>
  <c r="T208" i="9" s="1"/>
  <c r="G210" i="9"/>
  <c r="Q209" i="9"/>
  <c r="I209" i="9"/>
  <c r="G211" i="9" l="1"/>
  <c r="Q210" i="9"/>
  <c r="I210" i="9"/>
  <c r="R209" i="9"/>
  <c r="S209" i="9"/>
  <c r="T209" i="9" s="1"/>
  <c r="H210" i="9"/>
  <c r="H211" i="9" l="1"/>
  <c r="R210" i="9"/>
  <c r="S210" i="9"/>
  <c r="T210" i="9" s="1"/>
  <c r="G212" i="9"/>
  <c r="Q211" i="9"/>
  <c r="I211" i="9"/>
  <c r="H212" i="9" l="1"/>
  <c r="G213" i="9"/>
  <c r="Q212" i="9"/>
  <c r="I212" i="9"/>
  <c r="R211" i="9"/>
  <c r="S211" i="9"/>
  <c r="T211" i="9" s="1"/>
  <c r="R212" i="9" l="1"/>
  <c r="S212" i="9"/>
  <c r="T212" i="9" s="1"/>
  <c r="G214" i="9"/>
  <c r="Q213" i="9"/>
  <c r="I213" i="9"/>
  <c r="H213" i="9"/>
  <c r="R213" i="9" l="1"/>
  <c r="S213" i="9"/>
  <c r="T213" i="9" s="1"/>
  <c r="G215" i="9"/>
  <c r="Q214" i="9"/>
  <c r="I214" i="9"/>
  <c r="H214" i="9"/>
  <c r="H215" i="9" l="1"/>
  <c r="R214" i="9"/>
  <c r="S214" i="9"/>
  <c r="T214" i="9" s="1"/>
  <c r="G216" i="9"/>
  <c r="Q215" i="9"/>
  <c r="I215" i="9"/>
  <c r="H216" i="9" l="1"/>
  <c r="R215" i="9"/>
  <c r="S215" i="9"/>
  <c r="T215" i="9" s="1"/>
  <c r="G217" i="9"/>
  <c r="Q216" i="9"/>
  <c r="I216" i="9"/>
  <c r="G218" i="9" l="1"/>
  <c r="Q217" i="9"/>
  <c r="I217" i="9"/>
  <c r="R216" i="9"/>
  <c r="S216" i="9"/>
  <c r="T216" i="9" s="1"/>
  <c r="H217" i="9"/>
  <c r="H218" i="9" l="1"/>
  <c r="R217" i="9"/>
  <c r="S217" i="9"/>
  <c r="T217" i="9" s="1"/>
  <c r="G219" i="9"/>
  <c r="Q218" i="9"/>
  <c r="I218" i="9"/>
  <c r="G220" i="9" l="1"/>
  <c r="Q219" i="9"/>
  <c r="I219" i="9"/>
  <c r="H219" i="9"/>
  <c r="R218" i="9"/>
  <c r="S218" i="9"/>
  <c r="T218" i="9" s="1"/>
  <c r="H220" i="9" l="1"/>
  <c r="R219" i="9"/>
  <c r="S219" i="9"/>
  <c r="T219" i="9" s="1"/>
  <c r="G221" i="9"/>
  <c r="Q220" i="9"/>
  <c r="I220" i="9"/>
  <c r="G222" i="9" l="1"/>
  <c r="Q221" i="9"/>
  <c r="I221" i="9"/>
  <c r="R220" i="9"/>
  <c r="S220" i="9"/>
  <c r="T220" i="9" s="1"/>
  <c r="H221" i="9"/>
  <c r="H222" i="9" l="1"/>
  <c r="R221" i="9"/>
  <c r="S221" i="9"/>
  <c r="T221" i="9" s="1"/>
  <c r="G223" i="9"/>
  <c r="Q222" i="9"/>
  <c r="I222" i="9"/>
  <c r="G224" i="9" l="1"/>
  <c r="Q223" i="9"/>
  <c r="I223" i="9"/>
  <c r="R222" i="9"/>
  <c r="S222" i="9"/>
  <c r="T222" i="9" s="1"/>
  <c r="H223" i="9"/>
  <c r="H224" i="9" l="1"/>
  <c r="R223" i="9"/>
  <c r="S223" i="9"/>
  <c r="T223" i="9" s="1"/>
  <c r="G225" i="9"/>
  <c r="Q224" i="9"/>
  <c r="I224" i="9"/>
  <c r="G226" i="9" l="1"/>
  <c r="Q225" i="9"/>
  <c r="I225" i="9"/>
  <c r="H225" i="9"/>
  <c r="R224" i="9"/>
  <c r="S224" i="9"/>
  <c r="T224" i="9" s="1"/>
  <c r="H226" i="9" l="1"/>
  <c r="S225" i="9"/>
  <c r="T225" i="9" s="1"/>
  <c r="R225" i="9"/>
  <c r="G227" i="9"/>
  <c r="Q226" i="9"/>
  <c r="I226" i="9"/>
  <c r="G228" i="9" l="1"/>
  <c r="Q227" i="9"/>
  <c r="I227" i="9"/>
  <c r="R226" i="9"/>
  <c r="S226" i="9"/>
  <c r="T226" i="9" s="1"/>
  <c r="H227" i="9"/>
  <c r="H228" i="9" l="1"/>
  <c r="R227" i="9"/>
  <c r="S227" i="9"/>
  <c r="T227" i="9" s="1"/>
  <c r="G229" i="9"/>
  <c r="Q228" i="9"/>
  <c r="I228" i="9"/>
  <c r="H229" i="9" l="1"/>
  <c r="G230" i="9"/>
  <c r="Q229" i="9"/>
  <c r="I229" i="9"/>
  <c r="R228" i="9"/>
  <c r="S228" i="9"/>
  <c r="T228" i="9" s="1"/>
  <c r="R229" i="9" l="1"/>
  <c r="S229" i="9"/>
  <c r="T229" i="9" s="1"/>
  <c r="G231" i="9"/>
  <c r="Q230" i="9"/>
  <c r="I230" i="9"/>
  <c r="H230" i="9"/>
  <c r="H231" i="9" l="1"/>
  <c r="R230" i="9"/>
  <c r="S230" i="9"/>
  <c r="T230" i="9" s="1"/>
  <c r="G232" i="9"/>
  <c r="Q231" i="9"/>
  <c r="I231" i="9"/>
  <c r="H232" i="9" l="1"/>
  <c r="R231" i="9"/>
  <c r="S231" i="9"/>
  <c r="T231" i="9" s="1"/>
  <c r="G233" i="9"/>
  <c r="Q232" i="9"/>
  <c r="I232" i="9"/>
  <c r="R232" i="9" l="1"/>
  <c r="S232" i="9"/>
  <c r="T232" i="9" s="1"/>
  <c r="G234" i="9"/>
  <c r="Q233" i="9"/>
  <c r="I233" i="9"/>
  <c r="H233" i="9"/>
  <c r="H234" i="9" l="1"/>
  <c r="R233" i="9"/>
  <c r="S233" i="9"/>
  <c r="T233" i="9" s="1"/>
  <c r="G235" i="9"/>
  <c r="Q234" i="9"/>
  <c r="I234" i="9"/>
  <c r="H235" i="9" l="1"/>
  <c r="R234" i="9"/>
  <c r="S234" i="9"/>
  <c r="T234" i="9" s="1"/>
  <c r="G236" i="9"/>
  <c r="Q235" i="9"/>
  <c r="I235" i="9"/>
  <c r="H236" i="9" l="1"/>
  <c r="G237" i="9"/>
  <c r="Q236" i="9"/>
  <c r="I236" i="9"/>
  <c r="R235" i="9"/>
  <c r="S235" i="9"/>
  <c r="T235" i="9" s="1"/>
  <c r="R236" i="9" l="1"/>
  <c r="S236" i="9"/>
  <c r="T236" i="9" s="1"/>
  <c r="G238" i="9"/>
  <c r="Q237" i="9"/>
  <c r="I237" i="9"/>
  <c r="H237" i="9"/>
  <c r="H238" i="9" l="1"/>
  <c r="R237" i="9"/>
  <c r="S237" i="9"/>
  <c r="T237" i="9" s="1"/>
  <c r="G239" i="9"/>
  <c r="Q238" i="9"/>
  <c r="I238" i="9"/>
  <c r="H239" i="9" l="1"/>
  <c r="R238" i="9"/>
  <c r="S238" i="9"/>
  <c r="T238" i="9" s="1"/>
  <c r="G240" i="9"/>
  <c r="Q239" i="9"/>
  <c r="I239" i="9"/>
  <c r="G241" i="9" l="1"/>
  <c r="Q240" i="9"/>
  <c r="I240" i="9"/>
  <c r="R239" i="9"/>
  <c r="S239" i="9"/>
  <c r="T239" i="9" s="1"/>
  <c r="H240" i="9"/>
  <c r="H241" i="9" l="1"/>
  <c r="R240" i="9"/>
  <c r="S240" i="9"/>
  <c r="T240" i="9" s="1"/>
  <c r="G242" i="9"/>
  <c r="Q241" i="9"/>
  <c r="I241" i="9"/>
  <c r="G243" i="9" l="1"/>
  <c r="Q242" i="9"/>
  <c r="I242" i="9"/>
  <c r="R241" i="9"/>
  <c r="S241" i="9"/>
  <c r="T241" i="9" s="1"/>
  <c r="H242" i="9"/>
  <c r="H243" i="9" l="1"/>
  <c r="R242" i="9"/>
  <c r="S242" i="9"/>
  <c r="T242" i="9" s="1"/>
  <c r="G244" i="9"/>
  <c r="Q243" i="9"/>
  <c r="I243" i="9"/>
  <c r="G245" i="9" l="1"/>
  <c r="Q244" i="9"/>
  <c r="I244" i="9"/>
  <c r="H244" i="9"/>
  <c r="R243" i="9"/>
  <c r="S243" i="9"/>
  <c r="T243" i="9" s="1"/>
  <c r="H245" i="9" l="1"/>
  <c r="R244" i="9"/>
  <c r="S244" i="9"/>
  <c r="T244" i="9" s="1"/>
  <c r="G246" i="9"/>
  <c r="Q245" i="9"/>
  <c r="I245" i="9"/>
  <c r="G247" i="9" l="1"/>
  <c r="Q246" i="9"/>
  <c r="I246" i="9"/>
  <c r="R245" i="9"/>
  <c r="S245" i="9"/>
  <c r="T245" i="9" s="1"/>
  <c r="H246" i="9"/>
  <c r="H247" i="9" l="1"/>
  <c r="R246" i="9"/>
  <c r="S246" i="9"/>
  <c r="T246" i="9" s="1"/>
  <c r="G248" i="9"/>
  <c r="Q247" i="9"/>
  <c r="I247" i="9"/>
  <c r="G249" i="9" l="1"/>
  <c r="Q248" i="9"/>
  <c r="I248" i="9"/>
  <c r="H248" i="9"/>
  <c r="R247" i="9"/>
  <c r="S247" i="9"/>
  <c r="T247" i="9" s="1"/>
  <c r="H249" i="9" l="1"/>
  <c r="R248" i="9"/>
  <c r="S248" i="9"/>
  <c r="T248" i="9" s="1"/>
  <c r="G250" i="9"/>
  <c r="Q249" i="9"/>
  <c r="I249" i="9"/>
  <c r="G251" i="9" l="1"/>
  <c r="Q250" i="9"/>
  <c r="I250" i="9"/>
  <c r="R249" i="9"/>
  <c r="S249" i="9"/>
  <c r="T249" i="9" s="1"/>
  <c r="H250" i="9"/>
  <c r="H251" i="9" l="1"/>
  <c r="R250" i="9"/>
  <c r="S250" i="9"/>
  <c r="T250" i="9" s="1"/>
  <c r="G252" i="9"/>
  <c r="Q251" i="9"/>
  <c r="I251" i="9"/>
  <c r="G253" i="9" l="1"/>
  <c r="Q252" i="9"/>
  <c r="I252" i="9"/>
  <c r="H252" i="9"/>
  <c r="R251" i="9"/>
  <c r="S251" i="9"/>
  <c r="T251" i="9" s="1"/>
  <c r="H253" i="9" l="1"/>
  <c r="R252" i="9"/>
  <c r="S252" i="9"/>
  <c r="T252" i="9" s="1"/>
  <c r="G254" i="9"/>
  <c r="Q253" i="9"/>
  <c r="I253" i="9"/>
  <c r="G255" i="9" l="1"/>
  <c r="Q254" i="9"/>
  <c r="I254" i="9"/>
  <c r="R253" i="9"/>
  <c r="S253" i="9"/>
  <c r="T253" i="9" s="1"/>
  <c r="H254" i="9"/>
  <c r="H255" i="9" l="1"/>
  <c r="R254" i="9"/>
  <c r="S254" i="9"/>
  <c r="T254" i="9" s="1"/>
  <c r="G256" i="9"/>
  <c r="Q255" i="9"/>
  <c r="I255" i="9"/>
  <c r="G257" i="9" l="1"/>
  <c r="Q256" i="9"/>
  <c r="I256" i="9"/>
  <c r="H256" i="9"/>
  <c r="R255" i="9"/>
  <c r="S255" i="9"/>
  <c r="T255" i="9" s="1"/>
  <c r="H257" i="9" l="1"/>
  <c r="R256" i="9"/>
  <c r="S256" i="9"/>
  <c r="T256" i="9" s="1"/>
  <c r="G258" i="9"/>
  <c r="Q257" i="9"/>
  <c r="I257" i="9"/>
  <c r="G259" i="9" l="1"/>
  <c r="Q258" i="9"/>
  <c r="I258" i="9"/>
  <c r="R257" i="9"/>
  <c r="S257" i="9"/>
  <c r="T257" i="9" s="1"/>
  <c r="H258" i="9"/>
  <c r="H259" i="9" l="1"/>
  <c r="R258" i="9"/>
  <c r="S258" i="9"/>
  <c r="T258" i="9" s="1"/>
  <c r="G260" i="9"/>
  <c r="Q259" i="9"/>
  <c r="I259" i="9"/>
  <c r="G261" i="9" l="1"/>
  <c r="Q260" i="9"/>
  <c r="I260" i="9"/>
  <c r="H260" i="9"/>
  <c r="S259" i="9"/>
  <c r="T259" i="9" s="1"/>
  <c r="R259" i="9"/>
  <c r="H261" i="9" l="1"/>
  <c r="R260" i="9"/>
  <c r="S260" i="9"/>
  <c r="T260" i="9" s="1"/>
  <c r="G262" i="9"/>
  <c r="Q261" i="9"/>
  <c r="I261" i="9"/>
  <c r="G263" i="9" l="1"/>
  <c r="Q262" i="9"/>
  <c r="I262" i="9"/>
  <c r="R261" i="9"/>
  <c r="S261" i="9"/>
  <c r="T261" i="9" s="1"/>
  <c r="H262" i="9"/>
  <c r="H263" i="9" l="1"/>
  <c r="R262" i="9"/>
  <c r="S262" i="9"/>
  <c r="T262" i="9" s="1"/>
  <c r="G264" i="9"/>
  <c r="Q263" i="9"/>
  <c r="I263" i="9"/>
  <c r="G265" i="9" l="1"/>
  <c r="Q264" i="9"/>
  <c r="I264" i="9"/>
  <c r="H264" i="9"/>
  <c r="R263" i="9"/>
  <c r="S263" i="9"/>
  <c r="T263" i="9" s="1"/>
  <c r="H265" i="9" l="1"/>
  <c r="R264" i="9"/>
  <c r="S264" i="9"/>
  <c r="T264" i="9" s="1"/>
  <c r="G266" i="9"/>
  <c r="Q265" i="9"/>
  <c r="I265" i="9"/>
  <c r="G267" i="9" l="1"/>
  <c r="Q266" i="9"/>
  <c r="I266" i="9"/>
  <c r="R265" i="9"/>
  <c r="S265" i="9"/>
  <c r="T265" i="9" s="1"/>
  <c r="H266" i="9"/>
  <c r="H267" i="9" l="1"/>
  <c r="R266" i="9"/>
  <c r="S266" i="9"/>
  <c r="T266" i="9" s="1"/>
  <c r="G268" i="9"/>
  <c r="Q267" i="9"/>
  <c r="I267" i="9"/>
  <c r="G269" i="9" l="1"/>
  <c r="Q268" i="9"/>
  <c r="I268" i="9"/>
  <c r="H268" i="9"/>
  <c r="R267" i="9"/>
  <c r="S267" i="9"/>
  <c r="T267" i="9" s="1"/>
  <c r="H269" i="9" l="1"/>
  <c r="R268" i="9"/>
  <c r="S268" i="9"/>
  <c r="T268" i="9" s="1"/>
  <c r="G270" i="9"/>
  <c r="Q269" i="9"/>
  <c r="I269" i="9"/>
  <c r="G271" i="9" l="1"/>
  <c r="Q270" i="9"/>
  <c r="I270" i="9"/>
  <c r="R269" i="9"/>
  <c r="S269" i="9"/>
  <c r="T269" i="9" s="1"/>
  <c r="H270" i="9"/>
  <c r="H271" i="9" l="1"/>
  <c r="R270" i="9"/>
  <c r="S270" i="9"/>
  <c r="T270" i="9" s="1"/>
  <c r="G272" i="9"/>
  <c r="Q271" i="9"/>
  <c r="I271" i="9"/>
  <c r="G273" i="9" l="1"/>
  <c r="Q272" i="9"/>
  <c r="I272" i="9"/>
  <c r="H272" i="9"/>
  <c r="R271" i="9"/>
  <c r="S271" i="9"/>
  <c r="T271" i="9" s="1"/>
  <c r="H273" i="9" l="1"/>
  <c r="R272" i="9"/>
  <c r="S272" i="9"/>
  <c r="T272" i="9" s="1"/>
  <c r="G274" i="9"/>
  <c r="Q273" i="9"/>
  <c r="I273" i="9"/>
  <c r="G275" i="9" l="1"/>
  <c r="Q274" i="9"/>
  <c r="I274" i="9"/>
  <c r="R273" i="9"/>
  <c r="S273" i="9"/>
  <c r="T273" i="9" s="1"/>
  <c r="H274" i="9"/>
  <c r="H275" i="9" l="1"/>
  <c r="R274" i="9"/>
  <c r="S274" i="9"/>
  <c r="T274" i="9" s="1"/>
  <c r="G276" i="9"/>
  <c r="Q275" i="9"/>
  <c r="I275" i="9"/>
  <c r="G277" i="9" l="1"/>
  <c r="Q276" i="9"/>
  <c r="I276" i="9"/>
  <c r="H276" i="9"/>
  <c r="R275" i="9"/>
  <c r="S275" i="9"/>
  <c r="T275" i="9" s="1"/>
  <c r="H277" i="9" l="1"/>
  <c r="R276" i="9"/>
  <c r="S276" i="9"/>
  <c r="T276" i="9" s="1"/>
  <c r="G278" i="9"/>
  <c r="Q277" i="9"/>
  <c r="I277" i="9"/>
  <c r="G279" i="9" l="1"/>
  <c r="Q278" i="9"/>
  <c r="I278" i="9"/>
  <c r="R277" i="9"/>
  <c r="S277" i="9"/>
  <c r="T277" i="9" s="1"/>
  <c r="H278" i="9"/>
  <c r="H279" i="9" l="1"/>
  <c r="R278" i="9"/>
  <c r="S278" i="9"/>
  <c r="T278" i="9" s="1"/>
  <c r="G280" i="9"/>
  <c r="Q279" i="9"/>
  <c r="I279" i="9"/>
  <c r="G281" i="9" l="1"/>
  <c r="Q280" i="9"/>
  <c r="I280" i="9"/>
  <c r="H280" i="9"/>
  <c r="R279" i="9"/>
  <c r="S279" i="9"/>
  <c r="T279" i="9" s="1"/>
  <c r="H281" i="9" l="1"/>
  <c r="R280" i="9"/>
  <c r="S280" i="9"/>
  <c r="T280" i="9" s="1"/>
  <c r="G282" i="9"/>
  <c r="Q281" i="9"/>
  <c r="I281" i="9"/>
  <c r="G283" i="9" l="1"/>
  <c r="Q282" i="9"/>
  <c r="I282" i="9"/>
  <c r="R281" i="9"/>
  <c r="S281" i="9"/>
  <c r="T281" i="9" s="1"/>
  <c r="H282" i="9"/>
  <c r="H283" i="9" l="1"/>
  <c r="R282" i="9"/>
  <c r="S282" i="9"/>
  <c r="T282" i="9" s="1"/>
  <c r="G284" i="9"/>
  <c r="Q283" i="9"/>
  <c r="I283" i="9"/>
  <c r="G285" i="9" l="1"/>
  <c r="Q284" i="9"/>
  <c r="I284" i="9"/>
  <c r="H284" i="9"/>
  <c r="R283" i="9"/>
  <c r="S283" i="9"/>
  <c r="T283" i="9" s="1"/>
  <c r="H285" i="9" l="1"/>
  <c r="R284" i="9"/>
  <c r="S284" i="9"/>
  <c r="T284" i="9" s="1"/>
  <c r="G286" i="9"/>
  <c r="Q285" i="9"/>
  <c r="I285" i="9"/>
  <c r="G287" i="9" l="1"/>
  <c r="Q286" i="9"/>
  <c r="I286" i="9"/>
  <c r="R285" i="9"/>
  <c r="S285" i="9"/>
  <c r="T285" i="9" s="1"/>
  <c r="H286" i="9"/>
  <c r="H287" i="9" l="1"/>
  <c r="R286" i="9"/>
  <c r="S286" i="9"/>
  <c r="T286" i="9" s="1"/>
  <c r="G288" i="9"/>
  <c r="Q287" i="9"/>
  <c r="I287" i="9"/>
  <c r="G289" i="9" l="1"/>
  <c r="Q288" i="9"/>
  <c r="I288" i="9"/>
  <c r="H288" i="9"/>
  <c r="R287" i="9"/>
  <c r="S287" i="9"/>
  <c r="T287" i="9" s="1"/>
  <c r="H289" i="9" l="1"/>
  <c r="R288" i="9"/>
  <c r="S288" i="9"/>
  <c r="T288" i="9" s="1"/>
  <c r="G290" i="9"/>
  <c r="Q289" i="9"/>
  <c r="I289" i="9"/>
  <c r="G291" i="9" l="1"/>
  <c r="Q290" i="9"/>
  <c r="I290" i="9"/>
  <c r="R289" i="9"/>
  <c r="S289" i="9"/>
  <c r="T289" i="9" s="1"/>
  <c r="H290" i="9"/>
  <c r="H291" i="9" l="1"/>
  <c r="R290" i="9"/>
  <c r="S290" i="9"/>
  <c r="T290" i="9" s="1"/>
  <c r="G292" i="9"/>
  <c r="Q291" i="9"/>
  <c r="I291" i="9"/>
  <c r="H292" i="9" l="1"/>
  <c r="G293" i="9"/>
  <c r="Q292" i="9"/>
  <c r="I292" i="9"/>
  <c r="R291" i="9"/>
  <c r="S291" i="9"/>
  <c r="T291" i="9" s="1"/>
  <c r="R292" i="9" l="1"/>
  <c r="S292" i="9"/>
  <c r="T292" i="9" s="1"/>
  <c r="G294" i="9"/>
  <c r="Q293" i="9"/>
  <c r="I293" i="9"/>
  <c r="H293" i="9"/>
  <c r="H294" i="9" l="1"/>
  <c r="R293" i="9"/>
  <c r="S293" i="9"/>
  <c r="T293" i="9" s="1"/>
  <c r="G295" i="9"/>
  <c r="Q294" i="9"/>
  <c r="I294" i="9"/>
  <c r="G296" i="9" l="1"/>
  <c r="Q295" i="9"/>
  <c r="I295" i="9"/>
  <c r="R294" i="9"/>
  <c r="S294" i="9"/>
  <c r="T294" i="9" s="1"/>
  <c r="H295" i="9"/>
  <c r="H296" i="9" l="1"/>
  <c r="R295" i="9"/>
  <c r="S295" i="9"/>
  <c r="T295" i="9" s="1"/>
  <c r="G297" i="9"/>
  <c r="Q296" i="9"/>
  <c r="I296" i="9"/>
  <c r="G298" i="9" l="1"/>
  <c r="Q297" i="9"/>
  <c r="I297" i="9"/>
  <c r="H297" i="9"/>
  <c r="R296" i="9"/>
  <c r="S296" i="9"/>
  <c r="T296" i="9" s="1"/>
  <c r="H298" i="9" l="1"/>
  <c r="R297" i="9"/>
  <c r="S297" i="9"/>
  <c r="T297" i="9" s="1"/>
  <c r="G299" i="9"/>
  <c r="Q298" i="9"/>
  <c r="I298" i="9"/>
  <c r="G300" i="9" l="1"/>
  <c r="Q299" i="9"/>
  <c r="I299" i="9"/>
  <c r="R298" i="9"/>
  <c r="S298" i="9"/>
  <c r="T298" i="9" s="1"/>
  <c r="H299" i="9"/>
  <c r="H300" i="9" l="1"/>
  <c r="R299" i="9"/>
  <c r="S299" i="9"/>
  <c r="T299" i="9" s="1"/>
  <c r="G301" i="9"/>
  <c r="Q300" i="9"/>
  <c r="I300" i="9"/>
  <c r="G302" i="9" l="1"/>
  <c r="Q301" i="9"/>
  <c r="I301" i="9"/>
  <c r="H301" i="9"/>
  <c r="R300" i="9"/>
  <c r="S300" i="9"/>
  <c r="T300" i="9" s="1"/>
  <c r="H302" i="9" l="1"/>
  <c r="R301" i="9"/>
  <c r="S301" i="9"/>
  <c r="T301" i="9" s="1"/>
  <c r="G303" i="9"/>
  <c r="Q302" i="9"/>
  <c r="I302" i="9"/>
  <c r="G304" i="9" l="1"/>
  <c r="Q303" i="9"/>
  <c r="I303" i="9"/>
  <c r="R302" i="9"/>
  <c r="S302" i="9"/>
  <c r="T302" i="9" s="1"/>
  <c r="H303" i="9"/>
  <c r="H304" i="9" l="1"/>
  <c r="R303" i="9"/>
  <c r="S303" i="9"/>
  <c r="T303" i="9" s="1"/>
  <c r="G305" i="9"/>
  <c r="Q304" i="9"/>
  <c r="I304" i="9"/>
  <c r="G306" i="9" l="1"/>
  <c r="Q305" i="9"/>
  <c r="I305" i="9"/>
  <c r="R304" i="9"/>
  <c r="S304" i="9"/>
  <c r="T304" i="9" s="1"/>
  <c r="H305" i="9"/>
  <c r="H306" i="9" l="1"/>
  <c r="R305" i="9"/>
  <c r="S305" i="9"/>
  <c r="T305" i="9" s="1"/>
  <c r="G307" i="9"/>
  <c r="Q306" i="9"/>
  <c r="I306" i="9"/>
  <c r="G308" i="9" l="1"/>
  <c r="Q307" i="9"/>
  <c r="I307" i="9"/>
  <c r="H307" i="9"/>
  <c r="R306" i="9"/>
  <c r="S306" i="9"/>
  <c r="T306" i="9" s="1"/>
  <c r="H308" i="9" l="1"/>
  <c r="R307" i="9"/>
  <c r="S307" i="9"/>
  <c r="T307" i="9" s="1"/>
  <c r="G309" i="9"/>
  <c r="Q308" i="9"/>
  <c r="I308" i="9"/>
  <c r="G310" i="9" l="1"/>
  <c r="Q309" i="9"/>
  <c r="I309" i="9"/>
  <c r="R308" i="9"/>
  <c r="S308" i="9"/>
  <c r="T308" i="9" s="1"/>
  <c r="H309" i="9"/>
  <c r="H310" i="9" l="1"/>
  <c r="R309" i="9"/>
  <c r="S309" i="9"/>
  <c r="T309" i="9" s="1"/>
  <c r="G311" i="9"/>
  <c r="Q310" i="9"/>
  <c r="I310" i="9"/>
  <c r="G312" i="9" l="1"/>
  <c r="Q311" i="9"/>
  <c r="I311" i="9"/>
  <c r="R310" i="9"/>
  <c r="G10" i="12" s="1"/>
  <c r="S310" i="9"/>
  <c r="T310" i="9" s="1"/>
  <c r="H311" i="9"/>
  <c r="H312" i="9" l="1"/>
  <c r="R311" i="9"/>
  <c r="S311" i="9"/>
  <c r="T311" i="9" s="1"/>
  <c r="G313" i="9"/>
  <c r="Q312" i="9"/>
  <c r="I312" i="9"/>
  <c r="G314" i="9" l="1"/>
  <c r="Q313" i="9"/>
  <c r="I313" i="9"/>
  <c r="R312" i="9"/>
  <c r="S312" i="9"/>
  <c r="T312" i="9" s="1"/>
  <c r="H313" i="9"/>
  <c r="H314" i="9" l="1"/>
  <c r="R313" i="9"/>
  <c r="S313" i="9"/>
  <c r="T313" i="9" s="1"/>
  <c r="G315" i="9"/>
  <c r="Q314" i="9"/>
  <c r="I314" i="9"/>
  <c r="G316" i="9" l="1"/>
  <c r="Q315" i="9"/>
  <c r="I315" i="9"/>
  <c r="H315" i="9"/>
  <c r="R314" i="9"/>
  <c r="S314" i="9"/>
  <c r="T314" i="9" s="1"/>
  <c r="H316" i="9" l="1"/>
  <c r="R315" i="9"/>
  <c r="S315" i="9"/>
  <c r="T315" i="9" s="1"/>
  <c r="G317" i="9"/>
  <c r="Q316" i="9"/>
  <c r="I316" i="9"/>
  <c r="G318" i="9" l="1"/>
  <c r="Q317" i="9"/>
  <c r="I317" i="9"/>
  <c r="R316" i="9"/>
  <c r="S316" i="9"/>
  <c r="T316" i="9" s="1"/>
  <c r="H317" i="9"/>
  <c r="H318" i="9" l="1"/>
  <c r="R317" i="9"/>
  <c r="S317" i="9"/>
  <c r="T317" i="9" s="1"/>
  <c r="G319" i="9"/>
  <c r="Q318" i="9"/>
  <c r="I318" i="9"/>
  <c r="G320" i="9" l="1"/>
  <c r="Q319" i="9"/>
  <c r="I319" i="9"/>
  <c r="R318" i="9"/>
  <c r="S318" i="9"/>
  <c r="T318" i="9" s="1"/>
  <c r="H319" i="9"/>
  <c r="H320" i="9" l="1"/>
  <c r="R319" i="9"/>
  <c r="S319" i="9"/>
  <c r="T319" i="9" s="1"/>
  <c r="G321" i="9"/>
  <c r="Q320" i="9"/>
  <c r="I320" i="9"/>
  <c r="G322" i="9" l="1"/>
  <c r="Q321" i="9"/>
  <c r="I321" i="9"/>
  <c r="H321" i="9"/>
  <c r="R320" i="9"/>
  <c r="S320" i="9"/>
  <c r="T320" i="9" s="1"/>
  <c r="H322" i="9" l="1"/>
  <c r="R321" i="9"/>
  <c r="S321" i="9"/>
  <c r="T321" i="9" s="1"/>
  <c r="G323" i="9"/>
  <c r="Q322" i="9"/>
  <c r="I322" i="9"/>
  <c r="G324" i="9" l="1"/>
  <c r="Q323" i="9"/>
  <c r="I323" i="9"/>
  <c r="R322" i="9"/>
  <c r="S322" i="9"/>
  <c r="T322" i="9" s="1"/>
  <c r="H323" i="9"/>
  <c r="H324" i="9" l="1"/>
  <c r="R323" i="9"/>
  <c r="S323" i="9"/>
  <c r="T323" i="9" s="1"/>
  <c r="G325" i="9"/>
  <c r="Q324" i="9"/>
  <c r="I324" i="9"/>
  <c r="G326" i="9" l="1"/>
  <c r="Q325" i="9"/>
  <c r="I325" i="9"/>
  <c r="R324" i="9"/>
  <c r="S324" i="9"/>
  <c r="T324" i="9" s="1"/>
  <c r="H325" i="9"/>
  <c r="H326" i="9" l="1"/>
  <c r="R325" i="9"/>
  <c r="S325" i="9"/>
  <c r="T325" i="9" s="1"/>
  <c r="G327" i="9"/>
  <c r="Q326" i="9"/>
  <c r="I326" i="9"/>
  <c r="G328" i="9" l="1"/>
  <c r="Q327" i="9"/>
  <c r="I327" i="9"/>
  <c r="R326" i="9"/>
  <c r="S326" i="9"/>
  <c r="T326" i="9" s="1"/>
  <c r="H327" i="9"/>
  <c r="H328" i="9" l="1"/>
  <c r="R327" i="9"/>
  <c r="S327" i="9"/>
  <c r="T327" i="9" s="1"/>
  <c r="G329" i="9"/>
  <c r="Q328" i="9"/>
  <c r="I328" i="9"/>
  <c r="G330" i="9" l="1"/>
  <c r="Q329" i="9"/>
  <c r="I329" i="9"/>
  <c r="R328" i="9"/>
  <c r="S328" i="9"/>
  <c r="T328" i="9" s="1"/>
  <c r="H329" i="9"/>
  <c r="H330" i="9" l="1"/>
  <c r="R329" i="9"/>
  <c r="S329" i="9"/>
  <c r="T329" i="9" s="1"/>
  <c r="G331" i="9"/>
  <c r="Q330" i="9"/>
  <c r="I330" i="9"/>
  <c r="G332" i="9" l="1"/>
  <c r="Q331" i="9"/>
  <c r="I331" i="9"/>
  <c r="R330" i="9"/>
  <c r="S330" i="9"/>
  <c r="T330" i="9" s="1"/>
  <c r="H331" i="9"/>
  <c r="H332" i="9" l="1"/>
  <c r="R331" i="9"/>
  <c r="S331" i="9"/>
  <c r="T331" i="9" s="1"/>
  <c r="G333" i="9"/>
  <c r="Q332" i="9"/>
  <c r="I332" i="9"/>
  <c r="G334" i="9" l="1"/>
  <c r="Q333" i="9"/>
  <c r="I333" i="9"/>
  <c r="R332" i="9"/>
  <c r="S332" i="9"/>
  <c r="T332" i="9" s="1"/>
  <c r="H333" i="9"/>
  <c r="H334" i="9" l="1"/>
  <c r="R333" i="9"/>
  <c r="S333" i="9"/>
  <c r="T333" i="9" s="1"/>
  <c r="G335" i="9"/>
  <c r="Q334" i="9"/>
  <c r="I334" i="9"/>
  <c r="G336" i="9" l="1"/>
  <c r="Q335" i="9"/>
  <c r="I335" i="9"/>
  <c r="R334" i="9"/>
  <c r="S334" i="9"/>
  <c r="T334" i="9" s="1"/>
  <c r="H335" i="9"/>
  <c r="H336" i="9" l="1"/>
  <c r="R335" i="9"/>
  <c r="S335" i="9"/>
  <c r="T335" i="9" s="1"/>
  <c r="G337" i="9"/>
  <c r="Q336" i="9"/>
  <c r="I336" i="9"/>
  <c r="G338" i="9" l="1"/>
  <c r="Q337" i="9"/>
  <c r="I337" i="9"/>
  <c r="R336" i="9"/>
  <c r="S336" i="9"/>
  <c r="T336" i="9" s="1"/>
  <c r="H337" i="9"/>
  <c r="H338" i="9" l="1"/>
  <c r="R337" i="9"/>
  <c r="S337" i="9"/>
  <c r="T337" i="9" s="1"/>
  <c r="G339" i="9"/>
  <c r="Q338" i="9"/>
  <c r="I338" i="9"/>
  <c r="G340" i="9" l="1"/>
  <c r="Q339" i="9"/>
  <c r="I339" i="9"/>
  <c r="R338" i="9"/>
  <c r="S338" i="9"/>
  <c r="T338" i="9" s="1"/>
  <c r="H339" i="9"/>
  <c r="H340" i="9" l="1"/>
  <c r="R339" i="9"/>
  <c r="S339" i="9"/>
  <c r="T339" i="9" s="1"/>
  <c r="G341" i="9"/>
  <c r="Q340" i="9"/>
  <c r="I340" i="9"/>
  <c r="G342" i="9" l="1"/>
  <c r="Q341" i="9"/>
  <c r="I341" i="9"/>
  <c r="H341" i="9"/>
  <c r="R340" i="9"/>
  <c r="S340" i="9"/>
  <c r="T340" i="9" s="1"/>
  <c r="H342" i="9" l="1"/>
  <c r="R341" i="9"/>
  <c r="S341" i="9"/>
  <c r="T341" i="9" s="1"/>
  <c r="G343" i="9"/>
  <c r="Q342" i="9"/>
  <c r="I342" i="9"/>
  <c r="G344" i="9" l="1"/>
  <c r="Q343" i="9"/>
  <c r="I343" i="9"/>
  <c r="R342" i="9"/>
  <c r="S342" i="9"/>
  <c r="T342" i="9" s="1"/>
  <c r="H343" i="9"/>
  <c r="H344" i="9" l="1"/>
  <c r="R343" i="9"/>
  <c r="S343" i="9"/>
  <c r="T343" i="9" s="1"/>
  <c r="G345" i="9"/>
  <c r="Q344" i="9"/>
  <c r="I344" i="9"/>
  <c r="G346" i="9" l="1"/>
  <c r="Q345" i="9"/>
  <c r="I345" i="9"/>
  <c r="R344" i="9"/>
  <c r="S344" i="9"/>
  <c r="T344" i="9" s="1"/>
  <c r="H345" i="9"/>
  <c r="H346" i="9" l="1"/>
  <c r="R345" i="9"/>
  <c r="S345" i="9"/>
  <c r="T345" i="9" s="1"/>
  <c r="G347" i="9"/>
  <c r="Q346" i="9"/>
  <c r="I346" i="9"/>
  <c r="G348" i="9" l="1"/>
  <c r="Q347" i="9"/>
  <c r="I347" i="9"/>
  <c r="R346" i="9"/>
  <c r="S346" i="9"/>
  <c r="T346" i="9" s="1"/>
  <c r="H347" i="9"/>
  <c r="H348" i="9" l="1"/>
  <c r="R347" i="9"/>
  <c r="S347" i="9"/>
  <c r="T347" i="9" s="1"/>
  <c r="G349" i="9"/>
  <c r="Q348" i="9"/>
  <c r="I348" i="9"/>
  <c r="G350" i="9" l="1"/>
  <c r="Q349" i="9"/>
  <c r="I349" i="9"/>
  <c r="R348" i="9"/>
  <c r="S348" i="9"/>
  <c r="T348" i="9" s="1"/>
  <c r="H349" i="9"/>
  <c r="H350" i="9" l="1"/>
  <c r="R349" i="9"/>
  <c r="S349" i="9"/>
  <c r="T349" i="9" s="1"/>
  <c r="G351" i="9"/>
  <c r="Q350" i="9"/>
  <c r="I350" i="9"/>
  <c r="G352" i="9" l="1"/>
  <c r="Q351" i="9"/>
  <c r="I351" i="9"/>
  <c r="R350" i="9"/>
  <c r="S350" i="9"/>
  <c r="T350" i="9" s="1"/>
  <c r="H351" i="9"/>
  <c r="H352" i="9" l="1"/>
  <c r="R351" i="9"/>
  <c r="S351" i="9"/>
  <c r="T351" i="9" s="1"/>
  <c r="G353" i="9"/>
  <c r="Q352" i="9"/>
  <c r="I352" i="9"/>
  <c r="G354" i="9" l="1"/>
  <c r="Q353" i="9"/>
  <c r="I353" i="9"/>
  <c r="R352" i="9"/>
  <c r="S352" i="9"/>
  <c r="T352" i="9" s="1"/>
  <c r="H353" i="9"/>
  <c r="H354" i="9" l="1"/>
  <c r="R353" i="9"/>
  <c r="S353" i="9"/>
  <c r="T353" i="9" s="1"/>
  <c r="G355" i="9"/>
  <c r="Q354" i="9"/>
  <c r="I354" i="9"/>
  <c r="G356" i="9" l="1"/>
  <c r="Q355" i="9"/>
  <c r="I355" i="9"/>
  <c r="H355" i="9"/>
  <c r="R354" i="9"/>
  <c r="S354" i="9"/>
  <c r="T354" i="9" s="1"/>
  <c r="H356" i="9" l="1"/>
  <c r="R355" i="9"/>
  <c r="S355" i="9"/>
  <c r="T355" i="9" s="1"/>
  <c r="G357" i="9"/>
  <c r="Q356" i="9"/>
  <c r="I356" i="9"/>
  <c r="G358" i="9" l="1"/>
  <c r="Q357" i="9"/>
  <c r="I357" i="9"/>
  <c r="R356" i="9"/>
  <c r="S356" i="9"/>
  <c r="T356" i="9" s="1"/>
  <c r="H357" i="9"/>
  <c r="H358" i="9" l="1"/>
  <c r="R357" i="9"/>
  <c r="S357" i="9"/>
  <c r="T357" i="9" s="1"/>
  <c r="G359" i="9"/>
  <c r="Q358" i="9"/>
  <c r="I358" i="9"/>
  <c r="G360" i="9" l="1"/>
  <c r="Q359" i="9"/>
  <c r="I359" i="9"/>
  <c r="R358" i="9"/>
  <c r="S358" i="9"/>
  <c r="T358" i="9" s="1"/>
  <c r="H359" i="9"/>
  <c r="H360" i="9" l="1"/>
  <c r="R359" i="9"/>
  <c r="S359" i="9"/>
  <c r="T359" i="9" s="1"/>
  <c r="G361" i="9"/>
  <c r="Q360" i="9"/>
  <c r="I360" i="9"/>
  <c r="G362" i="9" l="1"/>
  <c r="Q361" i="9"/>
  <c r="I361" i="9"/>
  <c r="R360" i="9"/>
  <c r="S360" i="9"/>
  <c r="T360" i="9" s="1"/>
  <c r="H361" i="9"/>
  <c r="H362" i="9" l="1"/>
  <c r="R361" i="9"/>
  <c r="S361" i="9"/>
  <c r="T361" i="9" s="1"/>
  <c r="G363" i="9"/>
  <c r="Q362" i="9"/>
  <c r="I362" i="9"/>
  <c r="G364" i="9" l="1"/>
  <c r="Q363" i="9"/>
  <c r="I363" i="9"/>
  <c r="R362" i="9"/>
  <c r="S362" i="9"/>
  <c r="T362" i="9" s="1"/>
  <c r="H363" i="9"/>
  <c r="H364" i="9" l="1"/>
  <c r="R363" i="9"/>
  <c r="S363" i="9"/>
  <c r="T363" i="9" s="1"/>
  <c r="G365" i="9"/>
  <c r="Q364" i="9"/>
  <c r="I364" i="9"/>
  <c r="G366" i="9" l="1"/>
  <c r="Q365" i="9"/>
  <c r="I365" i="9"/>
  <c r="R364" i="9"/>
  <c r="S364" i="9"/>
  <c r="T364" i="9" s="1"/>
  <c r="H365" i="9"/>
  <c r="H366" i="9" l="1"/>
  <c r="R365" i="9"/>
  <c r="S365" i="9"/>
  <c r="T365" i="9" s="1"/>
  <c r="G367" i="9"/>
  <c r="Q366" i="9"/>
  <c r="I366" i="9"/>
  <c r="G368" i="9" l="1"/>
  <c r="Q367" i="9"/>
  <c r="I367" i="9"/>
  <c r="R366" i="9"/>
  <c r="S366" i="9"/>
  <c r="T366" i="9" s="1"/>
  <c r="H367" i="9"/>
  <c r="H368" i="9" l="1"/>
  <c r="R367" i="9"/>
  <c r="S367" i="9"/>
  <c r="T367" i="9" s="1"/>
  <c r="G369" i="9"/>
  <c r="Q368" i="9"/>
  <c r="I368" i="9"/>
  <c r="G370" i="9" l="1"/>
  <c r="Q369" i="9"/>
  <c r="I369" i="9"/>
  <c r="R368" i="9"/>
  <c r="S368" i="9"/>
  <c r="T368" i="9" s="1"/>
  <c r="H369" i="9"/>
  <c r="G371" i="9" l="1"/>
  <c r="Q370" i="9"/>
  <c r="I370" i="9"/>
  <c r="H370" i="9"/>
  <c r="R369" i="9"/>
  <c r="S369" i="9"/>
  <c r="T369" i="9" s="1"/>
  <c r="H371" i="9" l="1"/>
  <c r="R370" i="9"/>
  <c r="S370" i="9"/>
  <c r="T370" i="9" s="1"/>
  <c r="G372" i="9"/>
  <c r="Q371" i="9"/>
  <c r="I371" i="9"/>
  <c r="G373" i="9" l="1"/>
  <c r="Q372" i="9"/>
  <c r="I372" i="9"/>
  <c r="R371" i="9"/>
  <c r="S371" i="9"/>
  <c r="T371" i="9" s="1"/>
  <c r="H372" i="9"/>
  <c r="H373" i="9" l="1"/>
  <c r="R372" i="9"/>
  <c r="S372" i="9"/>
  <c r="T372" i="9" s="1"/>
  <c r="G374" i="9"/>
  <c r="Q373" i="9"/>
  <c r="I373" i="9"/>
  <c r="G375" i="9" l="1"/>
  <c r="Q374" i="9"/>
  <c r="I374" i="9"/>
  <c r="H374" i="9"/>
  <c r="R373" i="9"/>
  <c r="S373" i="9"/>
  <c r="T373" i="9" s="1"/>
  <c r="H375" i="9" l="1"/>
  <c r="R374" i="9"/>
  <c r="S374" i="9"/>
  <c r="T374" i="9" s="1"/>
  <c r="G376" i="9"/>
  <c r="Q375" i="9"/>
  <c r="I375" i="9"/>
  <c r="G377" i="9" l="1"/>
  <c r="Q376" i="9"/>
  <c r="I376" i="9"/>
  <c r="R375" i="9"/>
  <c r="S375" i="9"/>
  <c r="T375" i="9" s="1"/>
  <c r="H376" i="9"/>
  <c r="H377" i="9" l="1"/>
  <c r="R376" i="9"/>
  <c r="S376" i="9"/>
  <c r="T376" i="9" s="1"/>
  <c r="G378" i="9"/>
  <c r="Q377" i="9"/>
  <c r="I377" i="9"/>
  <c r="G379" i="9" l="1"/>
  <c r="Q378" i="9"/>
  <c r="I378" i="9"/>
  <c r="R377" i="9"/>
  <c r="S377" i="9"/>
  <c r="T377" i="9" s="1"/>
  <c r="H378" i="9"/>
  <c r="H379" i="9" l="1"/>
  <c r="R378" i="9"/>
  <c r="S378" i="9"/>
  <c r="T378" i="9" s="1"/>
  <c r="G380" i="9"/>
  <c r="Q379" i="9"/>
  <c r="I379" i="9"/>
  <c r="G381" i="9" l="1"/>
  <c r="Q380" i="9"/>
  <c r="I380" i="9"/>
  <c r="R379" i="9"/>
  <c r="S379" i="9"/>
  <c r="T379" i="9" s="1"/>
  <c r="H380" i="9"/>
  <c r="H381" i="9" l="1"/>
  <c r="R380" i="9"/>
  <c r="S380" i="9"/>
  <c r="T380" i="9" s="1"/>
  <c r="G382" i="9"/>
  <c r="Q381" i="9"/>
  <c r="I381" i="9"/>
  <c r="G383" i="9" l="1"/>
  <c r="Q382" i="9"/>
  <c r="I382" i="9"/>
  <c r="H382" i="9"/>
  <c r="R381" i="9"/>
  <c r="S381" i="9"/>
  <c r="T381" i="9" s="1"/>
  <c r="H383" i="9" l="1"/>
  <c r="R382" i="9"/>
  <c r="S382" i="9"/>
  <c r="T382" i="9" s="1"/>
  <c r="G384" i="9"/>
  <c r="Q383" i="9"/>
  <c r="I383" i="9"/>
  <c r="G385" i="9" l="1"/>
  <c r="Q384" i="9"/>
  <c r="I384" i="9"/>
  <c r="R383" i="9"/>
  <c r="S383" i="9"/>
  <c r="T383" i="9" s="1"/>
  <c r="H384" i="9"/>
  <c r="H385" i="9" l="1"/>
  <c r="R384" i="9"/>
  <c r="S384" i="9"/>
  <c r="T384" i="9" s="1"/>
  <c r="G386" i="9"/>
  <c r="Q385" i="9"/>
  <c r="I385" i="9"/>
  <c r="G387" i="9" l="1"/>
  <c r="Q386" i="9"/>
  <c r="I386" i="9"/>
  <c r="S385" i="9"/>
  <c r="T385" i="9" s="1"/>
  <c r="R385" i="9"/>
  <c r="H386" i="9"/>
  <c r="H387" i="9" l="1"/>
  <c r="R386" i="9"/>
  <c r="S386" i="9"/>
  <c r="T386" i="9" s="1"/>
  <c r="G388" i="9"/>
  <c r="Q387" i="9"/>
  <c r="I387" i="9"/>
  <c r="G389" i="9" l="1"/>
  <c r="Q388" i="9"/>
  <c r="I388" i="9"/>
  <c r="H388" i="9"/>
  <c r="R387" i="9"/>
  <c r="S387" i="9"/>
  <c r="T387" i="9" s="1"/>
  <c r="H389" i="9" l="1"/>
  <c r="R388" i="9"/>
  <c r="S388" i="9"/>
  <c r="T388" i="9" s="1"/>
  <c r="G390" i="9"/>
  <c r="Q389" i="9"/>
  <c r="I389" i="9"/>
  <c r="G391" i="9" l="1"/>
  <c r="Q390" i="9"/>
  <c r="I390" i="9"/>
  <c r="R389" i="9"/>
  <c r="S389" i="9"/>
  <c r="T389" i="9" s="1"/>
  <c r="H390" i="9"/>
  <c r="H391" i="9" l="1"/>
  <c r="R390" i="9"/>
  <c r="S390" i="9"/>
  <c r="T390" i="9" s="1"/>
  <c r="G392" i="9"/>
  <c r="Q391" i="9"/>
  <c r="I391" i="9"/>
  <c r="G393" i="9" l="1"/>
  <c r="Q392" i="9"/>
  <c r="I392" i="9"/>
  <c r="R391" i="9"/>
  <c r="S391" i="9"/>
  <c r="T391" i="9" s="1"/>
  <c r="H392" i="9"/>
  <c r="H393" i="9" l="1"/>
  <c r="R392" i="9"/>
  <c r="S392" i="9"/>
  <c r="T392" i="9" s="1"/>
  <c r="G394" i="9"/>
  <c r="Q393" i="9"/>
  <c r="I393" i="9"/>
  <c r="G395" i="9" l="1"/>
  <c r="Q394" i="9"/>
  <c r="I394" i="9"/>
  <c r="R393" i="9"/>
  <c r="S393" i="9"/>
  <c r="T393" i="9" s="1"/>
  <c r="H394" i="9"/>
  <c r="H395" i="9" l="1"/>
  <c r="R394" i="9"/>
  <c r="S394" i="9"/>
  <c r="T394" i="9" s="1"/>
  <c r="G396" i="9"/>
  <c r="Q395" i="9"/>
  <c r="I395" i="9"/>
  <c r="G397" i="9" l="1"/>
  <c r="Q396" i="9"/>
  <c r="I396" i="9"/>
  <c r="R395" i="9"/>
  <c r="S395" i="9"/>
  <c r="T395" i="9" s="1"/>
  <c r="H396" i="9"/>
  <c r="H397" i="9" l="1"/>
  <c r="R396" i="9"/>
  <c r="S396" i="9"/>
  <c r="T396" i="9" s="1"/>
  <c r="G398" i="9"/>
  <c r="Q397" i="9"/>
  <c r="I397" i="9"/>
  <c r="G399" i="9" l="1"/>
  <c r="Q398" i="9"/>
  <c r="I398" i="9"/>
  <c r="H398" i="9"/>
  <c r="R397" i="9"/>
  <c r="S397" i="9"/>
  <c r="T397" i="9" s="1"/>
  <c r="H399" i="9" l="1"/>
  <c r="R398" i="9"/>
  <c r="S398" i="9"/>
  <c r="T398" i="9" s="1"/>
  <c r="G400" i="9"/>
  <c r="Q399" i="9"/>
  <c r="I399" i="9"/>
  <c r="G401" i="9" l="1"/>
  <c r="Q400" i="9"/>
  <c r="I400" i="9"/>
  <c r="R399" i="9"/>
  <c r="S399" i="9"/>
  <c r="T399" i="9" s="1"/>
  <c r="H400" i="9"/>
  <c r="H401" i="9" l="1"/>
  <c r="R400" i="9"/>
  <c r="S400" i="9"/>
  <c r="T400" i="9" s="1"/>
  <c r="G402" i="9"/>
  <c r="Q401" i="9"/>
  <c r="I401" i="9"/>
  <c r="G403" i="9" l="1"/>
  <c r="Q402" i="9"/>
  <c r="I402" i="9"/>
  <c r="R401" i="9"/>
  <c r="S401" i="9"/>
  <c r="T401" i="9" s="1"/>
  <c r="H402" i="9"/>
  <c r="H403" i="9" l="1"/>
  <c r="R402" i="9"/>
  <c r="S402" i="9"/>
  <c r="T402" i="9" s="1"/>
  <c r="G404" i="9"/>
  <c r="Q403" i="9"/>
  <c r="I403" i="9"/>
  <c r="G405" i="9" l="1"/>
  <c r="Q404" i="9"/>
  <c r="I404" i="9"/>
  <c r="R403" i="9"/>
  <c r="S403" i="9"/>
  <c r="T403" i="9" s="1"/>
  <c r="H404" i="9"/>
  <c r="H405" i="9" l="1"/>
  <c r="S404" i="9"/>
  <c r="T404" i="9" s="1"/>
  <c r="R404" i="9"/>
  <c r="G406" i="9"/>
  <c r="Q405" i="9"/>
  <c r="I405" i="9"/>
  <c r="G407" i="9" l="1"/>
  <c r="Q406" i="9"/>
  <c r="I406" i="9"/>
  <c r="R405" i="9"/>
  <c r="S405" i="9"/>
  <c r="T405" i="9" s="1"/>
  <c r="H406" i="9"/>
  <c r="H407" i="9" l="1"/>
  <c r="R406" i="9"/>
  <c r="S406" i="9"/>
  <c r="T406" i="9" s="1"/>
  <c r="G408" i="9"/>
  <c r="Q407" i="9"/>
  <c r="I407" i="9"/>
  <c r="G409" i="9" l="1"/>
  <c r="Q408" i="9"/>
  <c r="I408" i="9"/>
  <c r="R407" i="9"/>
  <c r="S407" i="9"/>
  <c r="T407" i="9" s="1"/>
  <c r="H408" i="9"/>
  <c r="H409" i="9" l="1"/>
  <c r="R408" i="9"/>
  <c r="S408" i="9"/>
  <c r="T408" i="9" s="1"/>
  <c r="G410" i="9"/>
  <c r="Q409" i="9"/>
  <c r="I409" i="9"/>
  <c r="G411" i="9" l="1"/>
  <c r="Q410" i="9"/>
  <c r="I410" i="9"/>
  <c r="R409" i="9"/>
  <c r="S409" i="9"/>
  <c r="T409" i="9" s="1"/>
  <c r="H410" i="9"/>
  <c r="H411" i="9" l="1"/>
  <c r="R410" i="9"/>
  <c r="S410" i="9"/>
  <c r="T410" i="9" s="1"/>
  <c r="G412" i="9"/>
  <c r="Q411" i="9"/>
  <c r="I411" i="9"/>
  <c r="G413" i="9" l="1"/>
  <c r="Q412" i="9"/>
  <c r="I412" i="9"/>
  <c r="R411" i="9"/>
  <c r="S411" i="9"/>
  <c r="T411" i="9" s="1"/>
  <c r="H412" i="9"/>
  <c r="H413" i="9" l="1"/>
  <c r="R412" i="9"/>
  <c r="S412" i="9"/>
  <c r="T412" i="9" s="1"/>
  <c r="G414" i="9"/>
  <c r="Q413" i="9"/>
  <c r="I413" i="9"/>
  <c r="G415" i="9" l="1"/>
  <c r="Q414" i="9"/>
  <c r="I414" i="9"/>
  <c r="R413" i="9"/>
  <c r="S413" i="9"/>
  <c r="T413" i="9" s="1"/>
  <c r="H414" i="9"/>
  <c r="H415" i="9" l="1"/>
  <c r="R414" i="9"/>
  <c r="S414" i="9"/>
  <c r="T414" i="9" s="1"/>
  <c r="G416" i="9"/>
  <c r="Q415" i="9"/>
  <c r="I415" i="9"/>
  <c r="G417" i="9" l="1"/>
  <c r="Q416" i="9"/>
  <c r="I416" i="9"/>
  <c r="R415" i="9"/>
  <c r="S415" i="9"/>
  <c r="T415" i="9" s="1"/>
  <c r="H416" i="9"/>
  <c r="H417" i="9" l="1"/>
  <c r="R416" i="9"/>
  <c r="S416" i="9"/>
  <c r="T416" i="9" s="1"/>
  <c r="G418" i="9"/>
  <c r="Q417" i="9"/>
  <c r="I417" i="9"/>
  <c r="G419" i="9" l="1"/>
  <c r="Q418" i="9"/>
  <c r="I418" i="9"/>
  <c r="R417" i="9"/>
  <c r="S417" i="9"/>
  <c r="T417" i="9" s="1"/>
  <c r="H418" i="9"/>
  <c r="H419" i="9" l="1"/>
  <c r="R418" i="9"/>
  <c r="S418" i="9"/>
  <c r="T418" i="9" s="1"/>
  <c r="G420" i="9"/>
  <c r="Q419" i="9"/>
  <c r="I419" i="9"/>
  <c r="G421" i="9" l="1"/>
  <c r="Q420" i="9"/>
  <c r="I420" i="9"/>
  <c r="H420" i="9"/>
  <c r="R419" i="9"/>
  <c r="S419" i="9"/>
  <c r="T419" i="9" s="1"/>
  <c r="H421" i="9" l="1"/>
  <c r="R420" i="9"/>
  <c r="S420" i="9"/>
  <c r="T420" i="9" s="1"/>
  <c r="G422" i="9"/>
  <c r="Q421" i="9"/>
  <c r="I421" i="9"/>
  <c r="G423" i="9" l="1"/>
  <c r="Q422" i="9"/>
  <c r="I422" i="9"/>
  <c r="R421" i="9"/>
  <c r="S421" i="9"/>
  <c r="T421" i="9" s="1"/>
  <c r="H422" i="9"/>
  <c r="H423" i="9" l="1"/>
  <c r="R422" i="9"/>
  <c r="S422" i="9"/>
  <c r="T422" i="9" s="1"/>
  <c r="G424" i="9"/>
  <c r="Q423" i="9"/>
  <c r="I423" i="9"/>
  <c r="G425" i="9" l="1"/>
  <c r="Q424" i="9"/>
  <c r="I424" i="9"/>
  <c r="R423" i="9"/>
  <c r="S423" i="9"/>
  <c r="T423" i="9" s="1"/>
  <c r="H424" i="9"/>
  <c r="H425" i="9" l="1"/>
  <c r="R424" i="9"/>
  <c r="S424" i="9"/>
  <c r="T424" i="9" s="1"/>
  <c r="G426" i="9"/>
  <c r="Q425" i="9"/>
  <c r="I425" i="9"/>
  <c r="G427" i="9" l="1"/>
  <c r="Q426" i="9"/>
  <c r="I426" i="9"/>
  <c r="R425" i="9"/>
  <c r="S425" i="9"/>
  <c r="T425" i="9" s="1"/>
  <c r="H426" i="9"/>
  <c r="H427" i="9" l="1"/>
  <c r="R426" i="9"/>
  <c r="S426" i="9"/>
  <c r="T426" i="9" s="1"/>
  <c r="G428" i="9"/>
  <c r="Q427" i="9"/>
  <c r="I427" i="9"/>
  <c r="G429" i="9" l="1"/>
  <c r="Q428" i="9"/>
  <c r="I428" i="9"/>
  <c r="R427" i="9"/>
  <c r="S427" i="9"/>
  <c r="T427" i="9" s="1"/>
  <c r="H428" i="9"/>
  <c r="H429" i="9" l="1"/>
  <c r="R428" i="9"/>
  <c r="S428" i="9"/>
  <c r="T428" i="9" s="1"/>
  <c r="G430" i="9"/>
  <c r="Q429" i="9"/>
  <c r="I429" i="9"/>
  <c r="Q430" i="9" l="1"/>
  <c r="I430" i="9"/>
  <c r="R429" i="9"/>
  <c r="S429" i="9"/>
  <c r="T429" i="9" s="1"/>
  <c r="H430" i="9"/>
  <c r="R430" i="9" l="1"/>
  <c r="G7" i="12" s="1"/>
  <c r="G4" i="12" s="1"/>
  <c r="S430" i="9"/>
  <c r="T430" i="9" s="1"/>
  <c r="C9" i="12" s="1"/>
  <c r="D9" i="12" s="1"/>
  <c r="I4" i="12" l="1"/>
</calcChain>
</file>

<file path=xl/sharedStrings.xml><?xml version="1.0" encoding="utf-8"?>
<sst xmlns="http://schemas.openxmlformats.org/spreadsheetml/2006/main" count="780" uniqueCount="619">
  <si>
    <t>acre-feet per year</t>
  </si>
  <si>
    <t>miles</t>
  </si>
  <si>
    <t>percent</t>
  </si>
  <si>
    <t>$ per acre-feet</t>
  </si>
  <si>
    <t>years</t>
  </si>
  <si>
    <t>$/acre-feet</t>
  </si>
  <si>
    <t>(acre-feet)</t>
  </si>
  <si>
    <t>($)</t>
  </si>
  <si>
    <t>Efficiency of leak detection equipment</t>
  </si>
  <si>
    <t>#</t>
  </si>
  <si>
    <t>Time step</t>
  </si>
  <si>
    <t>year</t>
  </si>
  <si>
    <t>Cumulative water loss occurring with intervention</t>
  </si>
  <si>
    <t>Cumulative water loss occuring without intervention</t>
  </si>
  <si>
    <t>Assumed effective timeline</t>
  </si>
  <si>
    <t>fraction of total annual leakage</t>
  </si>
  <si>
    <t>($ per acre-feet)</t>
  </si>
  <si>
    <t>Variable production cost of water</t>
  </si>
  <si>
    <t>Average annual rise in price of water</t>
  </si>
  <si>
    <t>($) in 2020</t>
  </si>
  <si>
    <t>days</t>
  </si>
  <si>
    <t>$ per mile</t>
  </si>
  <si>
    <t>Value</t>
  </si>
  <si>
    <t>Calculations for leaks repaired during active leak detection</t>
  </si>
  <si>
    <t>System leakage characteristics</t>
  </si>
  <si>
    <t>(acre-feet per year)</t>
  </si>
  <si>
    <t>Year</t>
  </si>
  <si>
    <t xml:space="preserve"> in percent</t>
  </si>
  <si>
    <t>(1)</t>
  </si>
  <si>
    <t>(2)</t>
  </si>
  <si>
    <t>(3)</t>
  </si>
  <si>
    <t>(4)</t>
  </si>
  <si>
    <t>(5)</t>
  </si>
  <si>
    <t>(6)</t>
  </si>
  <si>
    <t>(7)</t>
  </si>
  <si>
    <t>(8)</t>
  </si>
  <si>
    <t>(9)</t>
  </si>
  <si>
    <t>(10)</t>
  </si>
  <si>
    <t>(11)</t>
  </si>
  <si>
    <t>(12)</t>
  </si>
  <si>
    <t>(13)</t>
  </si>
  <si>
    <t>(14)</t>
  </si>
  <si>
    <t>(15)</t>
  </si>
  <si>
    <t>(17)</t>
  </si>
  <si>
    <t>(18)</t>
  </si>
  <si>
    <t>(19)</t>
  </si>
  <si>
    <t>Average detectable leakage for supplier / Number of parts of system</t>
  </si>
  <si>
    <t>Rate of rise of leakage / Number of parts of system</t>
  </si>
  <si>
    <t>acre-feet per year per part per year</t>
  </si>
  <si>
    <t>Unit of Measurement</t>
  </si>
  <si>
    <t>Time step of one month to allow for incremental and partial surveys</t>
  </si>
  <si>
    <t>Unreported leakage fraction for the system</t>
  </si>
  <si>
    <t>Infrastructure Condition Factor (ICF)</t>
  </si>
  <si>
    <t>Cost of leak detection per mile x Total length of mains / Number of parts of system</t>
  </si>
  <si>
    <t>State Water Resources Control Board</t>
  </si>
  <si>
    <t>Cost-Benefit Analysis Model: Water Loss Performance Standards</t>
  </si>
  <si>
    <t xml:space="preserve">For questions, please contact: </t>
  </si>
  <si>
    <t>Max Gomberg at max.gomberg@waterboards.ca.gov</t>
  </si>
  <si>
    <t>(gallons per connection per day)</t>
  </si>
  <si>
    <t>$ per mile of mains surveyed</t>
  </si>
  <si>
    <t>$ per leak repaired</t>
  </si>
  <si>
    <t>leaks per mile of main</t>
  </si>
  <si>
    <t>months</t>
  </si>
  <si>
    <t>Total length of mains / Economic Intervention frequency</t>
  </si>
  <si>
    <t>Value of water for supplier</t>
  </si>
  <si>
    <t>Estimated average flow rate for unreported leaks</t>
  </si>
  <si>
    <t>Nominal discount rate</t>
  </si>
  <si>
    <t>in percent</t>
  </si>
  <si>
    <t>leaks per mile per year</t>
  </si>
  <si>
    <t>gallons per minute per leak</t>
  </si>
  <si>
    <t>Average flowrate for reported leakage x Number of reported leaks per mile  x Total length of mains</t>
  </si>
  <si>
    <t>Calculation of leakage components - Background, Reported and Unreported leakage</t>
  </si>
  <si>
    <t>Water Board determined input values</t>
  </si>
  <si>
    <t>Parameter</t>
  </si>
  <si>
    <t>Explanation/Formula</t>
  </si>
  <si>
    <t>Notes</t>
  </si>
  <si>
    <t xml:space="preserve">The 'Output' tab provides the Cost-Benefit ratios and calculated standards </t>
  </si>
  <si>
    <t>Detailed equations are available in the 'Equations' tab.</t>
  </si>
  <si>
    <t>Color code for cells</t>
  </si>
  <si>
    <t>Average operating pressure</t>
  </si>
  <si>
    <t>psi</t>
  </si>
  <si>
    <r>
      <rPr>
        <b/>
        <u/>
        <sz val="11"/>
        <color theme="1"/>
        <rFont val="Arial"/>
        <family val="2"/>
      </rPr>
      <t>Calculations:</t>
    </r>
    <r>
      <rPr>
        <sz val="11"/>
        <color theme="1"/>
        <rFont val="Arial"/>
        <family val="2"/>
      </rPr>
      <t xml:space="preserve"> This tab uses the inputs from the input tab to calculate the system-specific background, reported and unreported leakage, an economic intervention frequency for leakage surveying, and the associated cost-benefit analysis.</t>
    </r>
  </si>
  <si>
    <t>Spreadsheet tabs</t>
  </si>
  <si>
    <r>
      <rPr>
        <i/>
        <u/>
        <sz val="10"/>
        <color theme="1"/>
        <rFont val="Arial"/>
        <family val="2"/>
      </rPr>
      <t>Note</t>
    </r>
    <r>
      <rPr>
        <i/>
        <sz val="10"/>
        <color theme="1"/>
        <rFont val="Arial"/>
        <family val="2"/>
      </rPr>
      <t>: Repair costs per mile included in cost-benefit analysis, based on leakage corresponding to each survey cycle and leaks/mile</t>
    </r>
  </si>
  <si>
    <t>Price (Tier 1, treated)</t>
  </si>
  <si>
    <t>Type</t>
  </si>
  <si>
    <t>Equipment</t>
  </si>
  <si>
    <t>Part #</t>
  </si>
  <si>
    <t>Items Incld.</t>
  </si>
  <si>
    <t>Unit Cost</t>
  </si>
  <si>
    <t>Upfront Cost</t>
  </si>
  <si>
    <t>Labor</t>
  </si>
  <si>
    <t>External Vendor</t>
  </si>
  <si>
    <t>Acoustic Leak Detection</t>
  </si>
  <si>
    <t xml:space="preserve">50 &lt; miles $278 / mi 50 &gt; 100 mile $350 / mi  100 &gt; miles $300 / mi </t>
  </si>
  <si>
    <t>w/ optional 6ft sensor cable</t>
  </si>
  <si>
    <t>40 in. extension rod</t>
  </si>
  <si>
    <t>60 in. extension rod</t>
  </si>
  <si>
    <t>Sensor w/ steel base &amp; adapter</t>
  </si>
  <si>
    <t>Sensor w/ magnet &amp; 9.8 ft cable</t>
  </si>
  <si>
    <t>Correlator</t>
  </si>
  <si>
    <t>Leak Noise Correlators</t>
  </si>
  <si>
    <t>LC-5000</t>
  </si>
  <si>
    <t xml:space="preserve">a.  LD-12 Series includes apmlifier, meter display unit, ground microphone, headphones, 10mm nutfriver, aluminum sensor base and 39" contact rod.  </t>
  </si>
  <si>
    <t>b. LD-15/18 Series includes apmlifier w/meter display unit, 9.75 ft long cable,  base plate, and headphones.</t>
  </si>
  <si>
    <t>c. ZCorr3 includes 3 digital correlating loggers, 1 docking station (supports up to 8 loggers) and basic software.</t>
  </si>
  <si>
    <t>d. ZCorr8 includes 8 digital correlating loggers, 1 docking station (supports up to 8 loggers) and PRO software.</t>
  </si>
  <si>
    <t xml:space="preserve">e. LC-5000 includes 4 wireless/GPS correlator (real time and programmable), 5 charging cables and headphones.  </t>
  </si>
  <si>
    <t xml:space="preserve">* Pricing does not include applicable taxes or shipping costs. </t>
  </si>
  <si>
    <t>http://www.subsurfaceleak.com/waterleakdetec.html</t>
  </si>
  <si>
    <t>Listening Rod + Ground  Microphones</t>
  </si>
  <si>
    <t>DI</t>
  </si>
  <si>
    <t>PVC</t>
  </si>
  <si>
    <t>AC</t>
  </si>
  <si>
    <t>Median</t>
  </si>
  <si>
    <t>Average</t>
  </si>
  <si>
    <t>Acoustic  &amp; Special Leak dectetion</t>
  </si>
  <si>
    <t>EA15-10002B</t>
  </si>
  <si>
    <t>EA15-10002S</t>
  </si>
  <si>
    <t>EA15-10002C</t>
  </si>
  <si>
    <t>EA15-10102B</t>
  </si>
  <si>
    <t>EA15-10102S</t>
  </si>
  <si>
    <t>EA15-10102C</t>
  </si>
  <si>
    <t>EA16-10002B</t>
  </si>
  <si>
    <t>EA16-10002C</t>
  </si>
  <si>
    <t>EA16-10002P</t>
  </si>
  <si>
    <t>EA16-10102B</t>
  </si>
  <si>
    <t>EA16-10102C</t>
  </si>
  <si>
    <t>EA16-10102P</t>
  </si>
  <si>
    <t>Aquaphon A50 Kit "Entry Level Pro."</t>
  </si>
  <si>
    <t>EA50-10002BP</t>
  </si>
  <si>
    <t>EA50-10002C</t>
  </si>
  <si>
    <t>EA50-10002P</t>
  </si>
  <si>
    <t xml:space="preserve">Aquaphon A50 SDR Kit </t>
  </si>
  <si>
    <t>EA50-10011B</t>
  </si>
  <si>
    <t>EA50-10011C</t>
  </si>
  <si>
    <t>EA50-10011P</t>
  </si>
  <si>
    <t>Aquaphon A100 Pro Kit "Stnd Pro kit"</t>
  </si>
  <si>
    <t>EA14-10222B</t>
  </si>
  <si>
    <t>EA14-10222P</t>
  </si>
  <si>
    <t>EA14-10222C</t>
  </si>
  <si>
    <t>Aquaphon A200 Pro Kit "Pro. Kit"</t>
  </si>
  <si>
    <t>EA20-10022B</t>
  </si>
  <si>
    <t>EA20-10022PB</t>
  </si>
  <si>
    <t>EA20-10022P</t>
  </si>
  <si>
    <t>EA20-10022C</t>
  </si>
  <si>
    <t>SA01-10002K</t>
  </si>
  <si>
    <t>Combiphon Stopper Kit</t>
  </si>
  <si>
    <t>SA01-10002S</t>
  </si>
  <si>
    <t>Combiphon Complete Kit</t>
  </si>
  <si>
    <t>SA01-10002C</t>
  </si>
  <si>
    <t>Variotec VT 460 Tracergas Kit</t>
  </si>
  <si>
    <t>VT10-10502B</t>
  </si>
  <si>
    <t>Logger/Correlator</t>
  </si>
  <si>
    <t>SeCorr C200 Kit</t>
  </si>
  <si>
    <t>KR20-10202B</t>
  </si>
  <si>
    <t>SeCorrPhon AC200 Kit</t>
  </si>
  <si>
    <t>KR08-22202B</t>
  </si>
  <si>
    <t>KR20-20202P</t>
  </si>
  <si>
    <t>SeCorr 300 Digital Correlator Pro Kit</t>
  </si>
  <si>
    <t>KR30-S0004P</t>
  </si>
  <si>
    <t>SePem 01 Starter Kit</t>
  </si>
  <si>
    <t>SF01-10002S</t>
  </si>
  <si>
    <t>SePem 155 Logger</t>
  </si>
  <si>
    <t>DXMic System</t>
  </si>
  <si>
    <t>DXMICSYS</t>
  </si>
  <si>
    <t>DXMic Pro System</t>
  </si>
  <si>
    <t>DXPROSYS</t>
  </si>
  <si>
    <t>Bmic System</t>
  </si>
  <si>
    <t>BMICSYS</t>
  </si>
  <si>
    <t>TMic - FCS Portable Electronic Listening Stick</t>
  </si>
  <si>
    <t>TMICFCS</t>
  </si>
  <si>
    <t>L-Mic System</t>
  </si>
  <si>
    <t>LMICSYS</t>
  </si>
  <si>
    <t>L-Mic System Deluxe</t>
  </si>
  <si>
    <t>LMICSYSDEL</t>
  </si>
  <si>
    <t>Correlator / Logger</t>
  </si>
  <si>
    <t>S-30 System</t>
  </si>
  <si>
    <t>S30SYS</t>
  </si>
  <si>
    <t>TriCorr Touch Pro</t>
  </si>
  <si>
    <t>TCTOUCH</t>
  </si>
  <si>
    <t>Hydrophone Kit</t>
  </si>
  <si>
    <t>HYDKITMCTUSA</t>
  </si>
  <si>
    <t>Additional Correlating Pods</t>
  </si>
  <si>
    <t>RDL 5014L/4</t>
  </si>
  <si>
    <t>3 Pod with 8 Pod Case</t>
  </si>
  <si>
    <t>-</t>
  </si>
  <si>
    <t>4 Pod with 8 Pod Case</t>
  </si>
  <si>
    <t>6 Pod with 8 Pod Case</t>
  </si>
  <si>
    <t>8 Pod with 8 Pod Case</t>
  </si>
  <si>
    <t>Permalog+</t>
  </si>
  <si>
    <t>1-25 Permalogs</t>
  </si>
  <si>
    <t>PR4US</t>
  </si>
  <si>
    <t>26-50 Permalogs</t>
  </si>
  <si>
    <t>51-100 Permalogs</t>
  </si>
  <si>
    <t>101-200 Permalogs</t>
  </si>
  <si>
    <t>201-300 Permalogs</t>
  </si>
  <si>
    <t>301-500 Permalogs</t>
  </si>
  <si>
    <t>501-750 Permalogs</t>
  </si>
  <si>
    <t>751 + Permalogs</t>
  </si>
  <si>
    <t>Pcorr+</t>
  </si>
  <si>
    <t>1-25 Pcorr+</t>
  </si>
  <si>
    <t>PR5US</t>
  </si>
  <si>
    <t>26-50 Pcorr+</t>
  </si>
  <si>
    <t>51-100 Pcorr+</t>
  </si>
  <si>
    <t>101-200 Pcorr+</t>
  </si>
  <si>
    <t>201-300 Pcorr+</t>
  </si>
  <si>
    <t>301-500 Pcorr+</t>
  </si>
  <si>
    <t>501-750 Pcorr+</t>
  </si>
  <si>
    <t>751 + Pcorr+</t>
  </si>
  <si>
    <t>HL-7000 Electro-Acoustic Leak Detector</t>
  </si>
  <si>
    <t>seba-HL7000-US-PRO</t>
  </si>
  <si>
    <t>HL50 Bluetooth Municipal Digital Leak Locator</t>
  </si>
  <si>
    <t>SEBA-HL50BT-kit</t>
  </si>
  <si>
    <t>Listining Rod add on</t>
  </si>
  <si>
    <t>PAM T-3-1</t>
  </si>
  <si>
    <t>SEBA-WP12389</t>
  </si>
  <si>
    <t>N3-M logger add on</t>
  </si>
  <si>
    <t>SEBA-WP12391</t>
  </si>
  <si>
    <t>SEBA-WP12399</t>
  </si>
  <si>
    <t>a. Includes 10 Loggers</t>
  </si>
  <si>
    <t>b. Includes 3 Correlators</t>
  </si>
  <si>
    <t xml:space="preserve">* Pricing does not include applicable taxes or freight. </t>
  </si>
  <si>
    <t>Lifecycle</t>
  </si>
  <si>
    <t>Leak Survey</t>
  </si>
  <si>
    <t>4 - 7  years</t>
  </si>
  <si>
    <t>Leak Pinpoint</t>
  </si>
  <si>
    <t>9 - 10 years</t>
  </si>
  <si>
    <t>Average efficiency</t>
  </si>
  <si>
    <t>Equipment type</t>
  </si>
  <si>
    <r>
      <t>LD-12</t>
    </r>
    <r>
      <rPr>
        <vertAlign val="superscript"/>
        <sz val="10"/>
        <color theme="1"/>
        <rFont val="Arial"/>
        <family val="2"/>
      </rPr>
      <t>a</t>
    </r>
  </si>
  <si>
    <r>
      <t>LD-15</t>
    </r>
    <r>
      <rPr>
        <vertAlign val="superscript"/>
        <sz val="10"/>
        <color theme="1"/>
        <rFont val="Arial"/>
        <family val="2"/>
      </rPr>
      <t>b</t>
    </r>
  </si>
  <si>
    <r>
      <t>LD-18</t>
    </r>
    <r>
      <rPr>
        <vertAlign val="superscript"/>
        <sz val="10"/>
        <color theme="1"/>
        <rFont val="Arial"/>
        <family val="2"/>
      </rPr>
      <t>b</t>
    </r>
  </si>
  <si>
    <r>
      <t>ZCorr3</t>
    </r>
    <r>
      <rPr>
        <vertAlign val="superscript"/>
        <sz val="10"/>
        <color theme="1"/>
        <rFont val="Arial"/>
        <family val="2"/>
      </rPr>
      <t>c</t>
    </r>
  </si>
  <si>
    <r>
      <t>ZCorr8</t>
    </r>
    <r>
      <rPr>
        <vertAlign val="superscript"/>
        <sz val="10"/>
        <color theme="1"/>
        <rFont val="Arial"/>
        <family val="2"/>
      </rPr>
      <t>d</t>
    </r>
  </si>
  <si>
    <r>
      <t>Stethophon 04 Kit</t>
    </r>
    <r>
      <rPr>
        <vertAlign val="superscript"/>
        <sz val="10"/>
        <color theme="1"/>
        <rFont val="Arial"/>
        <family val="2"/>
      </rPr>
      <t>a</t>
    </r>
  </si>
  <si>
    <r>
      <t>Stethophon 04  SDR Kit</t>
    </r>
    <r>
      <rPr>
        <vertAlign val="superscript"/>
        <sz val="10"/>
        <color theme="1"/>
        <rFont val="Arial"/>
        <family val="2"/>
      </rPr>
      <t>a</t>
    </r>
  </si>
  <si>
    <r>
      <t>Aqua Test T-10 Kit</t>
    </r>
    <r>
      <rPr>
        <vertAlign val="superscript"/>
        <sz val="10"/>
        <color theme="1"/>
        <rFont val="Arial"/>
        <family val="2"/>
      </rPr>
      <t>b</t>
    </r>
  </si>
  <si>
    <r>
      <t>Aqua Test T-10 SDR Kit</t>
    </r>
    <r>
      <rPr>
        <vertAlign val="superscript"/>
        <sz val="10"/>
        <color theme="1"/>
        <rFont val="Arial"/>
        <family val="2"/>
      </rPr>
      <t>b</t>
    </r>
    <r>
      <rPr>
        <sz val="10"/>
        <color theme="1"/>
        <rFont val="Arial"/>
        <family val="2"/>
      </rPr>
      <t xml:space="preserve"> </t>
    </r>
  </si>
  <si>
    <r>
      <t>Combiphon Striker Kit</t>
    </r>
    <r>
      <rPr>
        <vertAlign val="superscript"/>
        <sz val="10"/>
        <color theme="1"/>
        <rFont val="Arial"/>
        <family val="2"/>
      </rPr>
      <t>c</t>
    </r>
  </si>
  <si>
    <r>
      <t>N3-C10: 1 Commander 3</t>
    </r>
    <r>
      <rPr>
        <vertAlign val="superscript"/>
        <sz val="10"/>
        <color theme="1"/>
        <rFont val="Arial"/>
        <family val="2"/>
      </rPr>
      <t>a</t>
    </r>
  </si>
  <si>
    <r>
      <t>Correlux C-3 Seba Pro Correlator</t>
    </r>
    <r>
      <rPr>
        <vertAlign val="superscript"/>
        <sz val="10"/>
        <color theme="1"/>
        <rFont val="Arial"/>
        <family val="2"/>
      </rPr>
      <t>b</t>
    </r>
  </si>
  <si>
    <t>(16)</t>
  </si>
  <si>
    <t>miles per month</t>
  </si>
  <si>
    <t>a. Highly trained and experienced staff.</t>
  </si>
  <si>
    <t>(gallons per mile per day)</t>
  </si>
  <si>
    <t>Average annual leakage reduced with active leak detection and repair           (acre-feet per year)</t>
  </si>
  <si>
    <t>Represents the average percentage of actual leaks found on excavation v/s the total detected leaks, including false positives expected to be pinpointed by leak detection equipment over the time horizon. As per vendor and water supplier knowledge based on field implementation, this efficiency increases with higher training and experience. This parameter adds the cost of additional excavation associated with locating leaks pinpointed by false positives, without the benefits of water loss reduction, to the overall costs of leak detection and repair.</t>
  </si>
  <si>
    <t>Avoided cost of alternative supplies</t>
  </si>
  <si>
    <t>Services provided by M.E. Simpson: 5 miles a day ~ 100 miles per month</t>
  </si>
  <si>
    <t>Irvine Ranch Water District: 3.5 miles per day ~ 70 miles per month</t>
  </si>
  <si>
    <t>Services provided by Municipal Water District of Orange County: 10 miles a week ~ 2 miles a day ~ 40 miles per month</t>
  </si>
  <si>
    <t>East Bay Municipal Utility District: 74 miles of manual surveying; 61 miles of automated acoustic surveying; 1236 miles of satellite surveying throughout the year  ~ 114.25 miles per month</t>
  </si>
  <si>
    <r>
      <rPr>
        <b/>
        <u/>
        <sz val="11"/>
        <color theme="1"/>
        <rFont val="Arial"/>
        <family val="2"/>
      </rPr>
      <t>CollectedData_References:</t>
    </r>
    <r>
      <rPr>
        <sz val="11"/>
        <color theme="1"/>
        <rFont val="Arial"/>
        <family val="2"/>
      </rPr>
      <t xml:space="preserve"> This tab summarizes all data that the Water Board used to develop the model and the respective references.</t>
    </r>
  </si>
  <si>
    <t>Term</t>
  </si>
  <si>
    <t>Formula</t>
  </si>
  <si>
    <t>References as applicable</t>
  </si>
  <si>
    <t>Tab: Calculation</t>
  </si>
  <si>
    <t>Equation (7-5), AWWA M36 Manual, 2016</t>
  </si>
  <si>
    <t>Table 3-22, AWWA M36 Manual, 2016</t>
  </si>
  <si>
    <t>Unreported leaks found per mile per year</t>
  </si>
  <si>
    <t>Water loss due to natural rise in leakage in never surveyed parts in each time step (acre-feet)</t>
  </si>
  <si>
    <t>Water loss due to natural rise in leakage in previously surveyed parts in each time step (acre-feet)</t>
  </si>
  <si>
    <t>Total water loss occuring in time step with intervention (acre-feet)</t>
  </si>
  <si>
    <t>Water loss occuring without intervention in each time step (acre-feet)</t>
  </si>
  <si>
    <t>Water saved due to water loss control in each time step (acre-feet)</t>
  </si>
  <si>
    <t>Total water loss occuring in time step with intervention - Water loss occuring without intervention in each time step</t>
  </si>
  <si>
    <t>Intitial leakage level for part surveyed during time step (acre-feet)</t>
  </si>
  <si>
    <t>Leaks found per part per system</t>
  </si>
  <si>
    <t>Incremental cost associated with leak repair in each time step ($)</t>
  </si>
  <si>
    <t>Cost associated with leak repair in each time step ($)</t>
  </si>
  <si>
    <t>Cost associated with leak detection and repair in each time step ($)</t>
  </si>
  <si>
    <t>Marginal cost of water including rising cost and avoided cost of alternative supplies (at the beginning of 2022) ($ per acre-feet)</t>
  </si>
  <si>
    <t>Marginal cost of water including rising cost and avoided cost of alternative supplies (for each incremental month after 2022 begins) ($ per acre-feet)</t>
  </si>
  <si>
    <t>Value of water loss reduced in each time step ($)</t>
  </si>
  <si>
    <t>Net benefit for each time step ($)</t>
  </si>
  <si>
    <t>Net Present Value of net benefit corresponding to each time step ($)</t>
  </si>
  <si>
    <t>Tab: Output</t>
  </si>
  <si>
    <t>Benefit/Cost Ratio</t>
  </si>
  <si>
    <t>Rise in price of water, based on historical rates for Tier 1 Treated Water rates for water sold by the Metropolitan Water District</t>
  </si>
  <si>
    <t>Leak surveying and pinpointing costs per mile</t>
  </si>
  <si>
    <t>Years</t>
  </si>
  <si>
    <t>Total leakage - (background leakage + reported leakage)</t>
  </si>
  <si>
    <t>b. Expected Efficiency of a new program (variable).</t>
  </si>
  <si>
    <t>Vendor - Subsurface</t>
  </si>
  <si>
    <t>Vendor - Sewerin</t>
  </si>
  <si>
    <t>Vendor - FCS</t>
  </si>
  <si>
    <t>Vendor - SEBA</t>
  </si>
  <si>
    <t>Vendor - Gutermann</t>
  </si>
  <si>
    <t>Repair costs for leaks found in area surveyed ($)</t>
  </si>
  <si>
    <t>Reported Water Saved</t>
  </si>
  <si>
    <t>2" &amp; 3" PVC</t>
  </si>
  <si>
    <t>4" PVC</t>
  </si>
  <si>
    <t>6" PVC</t>
  </si>
  <si>
    <t>6" ACP</t>
  </si>
  <si>
    <t>8" C-900 / ACP</t>
  </si>
  <si>
    <t>8" DIP</t>
  </si>
  <si>
    <t>10" ACP</t>
  </si>
  <si>
    <t>12" CML/ACP</t>
  </si>
  <si>
    <t>16" CML&amp;C</t>
  </si>
  <si>
    <t>$3500 - $30000</t>
  </si>
  <si>
    <t>263 AF</t>
  </si>
  <si>
    <t>$3000 - 5,000</t>
  </si>
  <si>
    <t>$3000 - 6,000</t>
  </si>
  <si>
    <t>$4000 - 6,000</t>
  </si>
  <si>
    <t>$3000 - 12,000</t>
  </si>
  <si>
    <t>$3000 - 9,000</t>
  </si>
  <si>
    <t>$6000 - 15,000</t>
  </si>
  <si>
    <t>$4000 - 31,650</t>
  </si>
  <si>
    <t>$2000 - 6,000</t>
  </si>
  <si>
    <t>$4000 - 9,000</t>
  </si>
  <si>
    <t>$4000 - 5,000</t>
  </si>
  <si>
    <t>$6000 - 12,000</t>
  </si>
  <si>
    <t xml:space="preserve">Averages: </t>
  </si>
  <si>
    <t>Tehama County Water system</t>
  </si>
  <si>
    <t>Kings County Water System</t>
  </si>
  <si>
    <t>Alpine County Water System</t>
  </si>
  <si>
    <t>Madera County System</t>
  </si>
  <si>
    <t>Average cost:</t>
  </si>
  <si>
    <r>
      <t>Leak Repair Range</t>
    </r>
    <r>
      <rPr>
        <vertAlign val="superscript"/>
        <sz val="10"/>
        <color theme="1"/>
        <rFont val="Arial"/>
        <family val="2"/>
      </rPr>
      <t>a</t>
    </r>
  </si>
  <si>
    <t>Average Cost/Foot</t>
  </si>
  <si>
    <t>From Irvine Ranch Water district</t>
  </si>
  <si>
    <t>From Pacific Gas and Electric's Report ET13PGE1451: Water System Leak Identification and Control Field Evaluation (2015)</t>
  </si>
  <si>
    <t>Repairs costs for the leaks detected:</t>
  </si>
  <si>
    <t>Efficiency range</t>
  </si>
  <si>
    <r>
      <t>98 - 99%</t>
    </r>
    <r>
      <rPr>
        <vertAlign val="superscript"/>
        <sz val="10"/>
        <color theme="1"/>
        <rFont val="Arial"/>
        <family val="2"/>
      </rPr>
      <t>a</t>
    </r>
    <r>
      <rPr>
        <sz val="10"/>
        <color theme="1"/>
        <rFont val="Arial"/>
        <family val="2"/>
      </rPr>
      <t xml:space="preserve">                       </t>
    </r>
  </si>
  <si>
    <t>Product of efficiencies for surveying and pinpointing</t>
  </si>
  <si>
    <t>Rate of rise of leakage, if known</t>
  </si>
  <si>
    <t>Default inputs or supplier-specific inputs if known</t>
  </si>
  <si>
    <t>Time taken to survey full distribution system (months)</t>
  </si>
  <si>
    <t>Total length of mains / Average number of miles surveyed each month</t>
  </si>
  <si>
    <t>Average number of miles surveyed in each month</t>
  </si>
  <si>
    <t>Calculation of anticipated number of unreported leaks for the system</t>
  </si>
  <si>
    <t>Based on data from vendors and water suppliers</t>
  </si>
  <si>
    <t>gallons per connection per day per year</t>
  </si>
  <si>
    <t>Agency</t>
  </si>
  <si>
    <t>Seal Beach</t>
  </si>
  <si>
    <t>TCWD</t>
  </si>
  <si>
    <t>La Habra</t>
  </si>
  <si>
    <t>Tustin</t>
  </si>
  <si>
    <t>EOCWD</t>
  </si>
  <si>
    <t>Huntington Beach</t>
  </si>
  <si>
    <t>Mesa</t>
  </si>
  <si>
    <t>Orange</t>
  </si>
  <si>
    <t>San Clemente</t>
  </si>
  <si>
    <t>YLWD</t>
  </si>
  <si>
    <t>The following surveying schedule has been planned for member agencies of the Municipal Water District of Orange county</t>
  </si>
  <si>
    <t>Target Miles (Annual)</t>
  </si>
  <si>
    <t>Total length of mains (Miles)</t>
  </si>
  <si>
    <t>Avoided Cost of Water</t>
  </si>
  <si>
    <t>Consumer price indices (commodities)</t>
  </si>
  <si>
    <t>Real price as 2019$</t>
  </si>
  <si>
    <t>Percent increase</t>
  </si>
  <si>
    <t>Average annual price increase (2008-2018)</t>
  </si>
  <si>
    <t xml:space="preserve">Average avoided cost ($): </t>
  </si>
  <si>
    <t>Average leak detection survey frequency</t>
  </si>
  <si>
    <t>Figure: Rise in leakage in parts of the system never surveyed before.</t>
  </si>
  <si>
    <t>Figure: Rise in leakage in parts of the system that have been surveyed before.</t>
  </si>
  <si>
    <t>Marginal avoided cost of water</t>
  </si>
  <si>
    <t>Water loss volumetric performance standard - 2028 (gallons per connection per day)</t>
  </si>
  <si>
    <t>Water loss volumetric performance standard - 2028 (gallons per mile per day)</t>
  </si>
  <si>
    <r>
      <rPr>
        <b/>
        <u/>
        <sz val="11"/>
        <color theme="1"/>
        <rFont val="Arial"/>
        <family val="2"/>
      </rPr>
      <t>Inputs</t>
    </r>
    <r>
      <rPr>
        <sz val="11"/>
        <color theme="1"/>
        <rFont val="Arial"/>
        <family val="2"/>
      </rPr>
      <t>: All inputs to the model are summarized here. Any changes to inputs can be made in this tab. Inputs are color-coded to show which cells are from water loss audits, user-inputs, calculated,or determined by the State Water Board.</t>
    </r>
  </si>
  <si>
    <r>
      <rPr>
        <b/>
        <u/>
        <sz val="11"/>
        <color theme="1"/>
        <rFont val="Arial"/>
        <family val="2"/>
      </rPr>
      <t>Output:</t>
    </r>
    <r>
      <rPr>
        <sz val="11"/>
        <color theme="1"/>
        <rFont val="Arial"/>
        <family val="2"/>
      </rPr>
      <t xml:space="preserve"> This tab summarizes the economic level of leakage for each year beginning 2022, with a view to determine the economically feasible level of leakage for 2028, and the Benefit-Cost ratio across the time horizon, including the compliance period.</t>
    </r>
  </si>
  <si>
    <t>Collected Data</t>
  </si>
  <si>
    <t>2. American Water Works Association, 2016, Water Audits and Loss Control Programs (M36 Manual), Fourth Edition</t>
  </si>
  <si>
    <t>3. Water Research Foundation, 2015, Water Audits and Real Loss Component Analysis, Report 4372a</t>
  </si>
  <si>
    <t>4. A.O. Lambert, 1999, International Report: Water losses management and techniques, Water Science and Technology: Water Supply Vol 2 No 4 pp 1–20</t>
  </si>
  <si>
    <t>5. European Union, 2015, EU Reference document Good Practices on Leakage Management: Main Report</t>
  </si>
  <si>
    <r>
      <t>This model determines the background leakage (undetectable by active leak detection and repair), reported leakage (visible) and unreported leakage (hidden but detectable by active leak detection equipment) for the distribution system. These components are calculated based on the length of distribution mains and number of connections owned by the supplier and the average operational pressure. The model calculates the unreported leakage component, which is can be reduced by active leak detection and repair by surveying the distribution system using specialized equipment. It uses established equations and estimates for typical flow rates and number of leaks for each type of leakage (background, reported and unreported) as applicable from the AWWA M36 manual (2016)</t>
    </r>
    <r>
      <rPr>
        <vertAlign val="superscript"/>
        <sz val="10"/>
        <color theme="1"/>
        <rFont val="Arial"/>
        <family val="2"/>
      </rPr>
      <t>2</t>
    </r>
    <r>
      <rPr>
        <sz val="10"/>
        <color theme="1"/>
        <rFont val="Arial"/>
        <family val="2"/>
      </rPr>
      <t>, the Water Research Foundation 4372a Report (2015)</t>
    </r>
    <r>
      <rPr>
        <vertAlign val="superscript"/>
        <sz val="10"/>
        <color theme="1"/>
        <rFont val="Arial"/>
        <family val="2"/>
      </rPr>
      <t>3</t>
    </r>
    <r>
      <rPr>
        <sz val="10"/>
        <color theme="1"/>
        <rFont val="Arial"/>
        <family val="2"/>
      </rPr>
      <t>, and a publication by AWWA's Water Loss Control Committee</t>
    </r>
    <r>
      <rPr>
        <vertAlign val="superscript"/>
        <sz val="10"/>
        <color theme="1"/>
        <rFont val="Arial"/>
        <family val="2"/>
      </rPr>
      <t>4</t>
    </r>
    <r>
      <rPr>
        <sz val="10"/>
        <color theme="1"/>
        <rFont val="Arial"/>
        <family val="2"/>
      </rPr>
      <t xml:space="preserve"> on the IWA International Methodology for determining these leakage components. The following default inputs (green cells) are based on these references, and can be adjusted by the supplier if the supplier has supplier-specific data based on field measurements and analysis.</t>
    </r>
  </si>
  <si>
    <r>
      <rPr>
        <i/>
        <sz val="10"/>
        <color theme="1"/>
        <rFont val="Arial"/>
        <family val="2"/>
      </rPr>
      <t>For reported leakage calculation</t>
    </r>
    <r>
      <rPr>
        <sz val="10"/>
        <color theme="1"/>
        <rFont val="Arial"/>
        <family val="2"/>
      </rPr>
      <t xml:space="preserve">                                                                                                                                     From AWWA M36 Manual, Fourth Edition (2016)</t>
    </r>
    <r>
      <rPr>
        <vertAlign val="superscript"/>
        <sz val="10"/>
        <color theme="1"/>
        <rFont val="Arial"/>
        <family val="2"/>
      </rPr>
      <t>2</t>
    </r>
    <r>
      <rPr>
        <sz val="10"/>
        <color theme="1"/>
        <rFont val="Arial"/>
        <family val="2"/>
      </rPr>
      <t xml:space="preserve"> (Table 3-22), AWWA Water Loss Control Committee Report: Applying worldwide BMPs in water loss control, 2003</t>
    </r>
    <r>
      <rPr>
        <vertAlign val="superscript"/>
        <sz val="10"/>
        <color theme="1"/>
        <rFont val="Arial"/>
        <family val="2"/>
      </rPr>
      <t>6</t>
    </r>
    <r>
      <rPr>
        <sz val="10"/>
        <color theme="1"/>
        <rFont val="Arial"/>
        <family val="2"/>
      </rPr>
      <t xml:space="preserve"> (Table 4), and  Lambert, 1999</t>
    </r>
    <r>
      <rPr>
        <vertAlign val="superscript"/>
        <sz val="10"/>
        <color theme="1"/>
        <rFont val="Arial"/>
        <family val="2"/>
      </rPr>
      <t>4</t>
    </r>
    <r>
      <rPr>
        <sz val="10"/>
        <color theme="1"/>
        <rFont val="Arial"/>
        <family val="2"/>
      </rPr>
      <t xml:space="preserve"> (Table 3)</t>
    </r>
  </si>
  <si>
    <t>6. American Water Works Association Water Loss Control Committee, 2003, Committee Report: Applying worldwide BMPs in water loss control, Volume 95, Issue 8, Pages 65-79</t>
  </si>
  <si>
    <r>
      <t>Based on data from Irvine Ranch Water District and PGE Report ET13PGE1451: Water System Leak Identification and Control Field Evaluation</t>
    </r>
    <r>
      <rPr>
        <vertAlign val="superscript"/>
        <sz val="10"/>
        <rFont val="Arial"/>
        <family val="2"/>
      </rPr>
      <t>7</t>
    </r>
  </si>
  <si>
    <t>7. California Rural Water Association, 2015, Water System Leak Identification and Control Field Evaluation, Emerging Technologies Report:ET13PGE1451, Pacific Gas and Electric Company</t>
  </si>
  <si>
    <t>8. Pacific Institute, 2016, The Cost of Alternative Water Supply and Efficiency Options in California</t>
  </si>
  <si>
    <t>9. Natural Resources Defense Council, 2016, Issue Brief: Proceed with Caution II: California's Droughts and Desalination in Context</t>
  </si>
  <si>
    <t>State Water Board staff proposal based on stakeholder input</t>
  </si>
  <si>
    <r>
      <t>The cell here is blank for possible supplier input. A default rise of 4 gallons per connection per day per year, adapted from the EU Reference document: Good Practices on Leakage Management (Main Report)</t>
    </r>
    <r>
      <rPr>
        <vertAlign val="superscript"/>
        <sz val="10"/>
        <color theme="1"/>
        <rFont val="Arial"/>
        <family val="2"/>
      </rPr>
      <t>5</t>
    </r>
    <r>
      <rPr>
        <sz val="10"/>
        <color theme="1"/>
        <rFont val="Arial"/>
        <family val="2"/>
      </rPr>
      <t xml:space="preserve"> is used. To check applicability to North American water systems, references of a California and a Tenessee system are used from the Water Research foundation Report 4372a, 2015</t>
    </r>
    <r>
      <rPr>
        <vertAlign val="superscript"/>
        <sz val="10"/>
        <color theme="1"/>
        <rFont val="Arial"/>
        <family val="2"/>
      </rPr>
      <t>3</t>
    </r>
    <r>
      <rPr>
        <sz val="10"/>
        <color theme="1"/>
        <rFont val="Arial"/>
        <family val="2"/>
      </rPr>
      <t>, which had rates of rise of leakage of 3 and 3.9 gallons per connection per day per year. As per the EU Report, this value is very low as compared to water systems in the U.K., and is selected as a representative rate for California systems, based on field experience of technical experts. The low rate of rise of leakage means that the model relies more on the backlog of leakage (represented by the real loss reported by suppliers) than the default value for rate of rise in leakage.</t>
    </r>
  </si>
  <si>
    <r>
      <t>Based on the average cost of alternative suplies for stormwater capture, brackish desalination, nonpotable reuse, indirect potable reuse, based on a Pacific Institute study, suported by an NRDC issue brief (2016)</t>
    </r>
    <r>
      <rPr>
        <vertAlign val="superscript"/>
        <sz val="10"/>
        <color theme="1"/>
        <rFont val="Arial"/>
        <family val="2"/>
      </rPr>
      <t xml:space="preserve">8,9 </t>
    </r>
    <r>
      <rPr>
        <sz val="10"/>
        <color theme="1"/>
        <rFont val="Arial"/>
        <family val="2"/>
      </rPr>
      <t>and imported water costs as per historical rates from the Metropolitan Water District</t>
    </r>
  </si>
  <si>
    <t>Superscripted numbers denote a numbered reference in the "CollectedData_References" tab.</t>
  </si>
  <si>
    <t>Calculations to determine unreported leakage volume  are below.</t>
  </si>
  <si>
    <r>
      <t>Based on Table 6 of  EU Reference document: Good Practices on Leakage Management (Main Report)</t>
    </r>
    <r>
      <rPr>
        <vertAlign val="superscript"/>
        <sz val="10"/>
        <color theme="1"/>
        <rFont val="Arial"/>
        <family val="2"/>
      </rPr>
      <t>5</t>
    </r>
    <r>
      <rPr>
        <sz val="10"/>
        <color theme="1"/>
        <rFont val="Arial"/>
        <family val="2"/>
      </rPr>
      <t>, and Water Research foundation Report 4372a, (2015)</t>
    </r>
    <r>
      <rPr>
        <vertAlign val="superscript"/>
        <sz val="10"/>
        <color theme="1"/>
        <rFont val="Arial"/>
        <family val="2"/>
      </rPr>
      <t>3</t>
    </r>
    <r>
      <rPr>
        <sz val="10"/>
        <color theme="1"/>
        <rFont val="Arial"/>
        <family val="2"/>
      </rPr>
      <t>, if supplier does not have system-specific estimate.</t>
    </r>
  </si>
  <si>
    <r>
      <t>Equation (7-5), AWWA M36 Manual, 2016</t>
    </r>
    <r>
      <rPr>
        <vertAlign val="superscript"/>
        <sz val="10"/>
        <color theme="1"/>
        <rFont val="Arial"/>
        <family val="2"/>
      </rPr>
      <t>2</t>
    </r>
    <r>
      <rPr>
        <sz val="10"/>
        <color theme="1"/>
        <rFont val="Arial"/>
        <family val="2"/>
      </rPr>
      <t xml:space="preserve"> or supplier input</t>
    </r>
  </si>
  <si>
    <t>User-reported or default value, used to value the volume of real loss reduced</t>
  </si>
  <si>
    <t>Expected timeline for costs and benefits associated with real loss reduction</t>
  </si>
  <si>
    <r>
      <t xml:space="preserve">This represents an average frequency for leak detection surveying based on the miles of pipe in a water distribution system. This average frequency is derived from vendor and water supplier estimates, and used as a basis to calculate the economically recoverable leakage. Complying with this survey frequency is </t>
    </r>
    <r>
      <rPr>
        <u/>
        <sz val="10"/>
        <color theme="1"/>
        <rFont val="Arial"/>
        <family val="2"/>
      </rPr>
      <t>not</t>
    </r>
    <r>
      <rPr>
        <sz val="10"/>
        <color theme="1"/>
        <rFont val="Arial"/>
        <family val="2"/>
      </rPr>
      <t xml:space="preserve"> a regulatory requirement.</t>
    </r>
  </si>
  <si>
    <t>Estimate time taken to survey full distribution system</t>
  </si>
  <si>
    <t xml:space="preserve">Current leakage level (gallons per connection per day) </t>
  </si>
  <si>
    <t>Current leakage level (gallons per mile per day)</t>
  </si>
  <si>
    <t>See row 32 for calculation</t>
  </si>
  <si>
    <t xml:space="preserve">  Estimated real loss for distribution system</t>
  </si>
  <si>
    <t>Leaks found per part of the system with intervention</t>
  </si>
  <si>
    <t>Water savings and cost  for additional intervention</t>
  </si>
  <si>
    <t>Baseline - Without additional intervention</t>
  </si>
  <si>
    <t>Water lost during implementation of additional intervention (from residual backlog and natural rise of leakage)</t>
  </si>
  <si>
    <t>Analysis of additional benefits or costs due to additional intervention for leakage reduction</t>
  </si>
  <si>
    <t>Calculation of Leakage reduction and Benefit-Cost Analysis across 30 years</t>
  </si>
  <si>
    <t>Water Loss Volumetric Performance Standard - Output</t>
  </si>
  <si>
    <r>
      <t>1. From water loss audit reports submitted by urban retail water suppliers as per Water Code 10608.34 to the California Department of Water Resources</t>
    </r>
    <r>
      <rPr>
        <b/>
        <vertAlign val="superscript"/>
        <sz val="13"/>
        <color theme="1"/>
        <rFont val="Arial"/>
        <family val="2"/>
      </rPr>
      <t>1</t>
    </r>
  </si>
  <si>
    <t>2. Default values determined by Water Board that can be replaced by supplier-specific inputs provided by urban retail water supplier with supporting supplier records</t>
  </si>
  <si>
    <t>3. Input values on real rise in value of water and costs associated with water loss reduction (determined by the Water Board)</t>
  </si>
  <si>
    <r>
      <t xml:space="preserve">Background leakage: If supplier has information, enter as volume below, </t>
    </r>
    <r>
      <rPr>
        <b/>
        <u/>
        <sz val="11"/>
        <color theme="1"/>
        <rFont val="Arial"/>
        <family val="2"/>
      </rPr>
      <t>or</t>
    </r>
    <r>
      <rPr>
        <b/>
        <sz val="11"/>
        <color theme="1"/>
        <rFont val="Arial"/>
        <family val="2"/>
      </rPr>
      <t xml:space="preserve"> enter infrastructure condition factor below</t>
    </r>
  </si>
  <si>
    <r>
      <t xml:space="preserve">Reported leakage: If supplier has information, enter as volume below, </t>
    </r>
    <r>
      <rPr>
        <b/>
        <u/>
        <sz val="11"/>
        <color theme="1"/>
        <rFont val="Arial"/>
        <family val="2"/>
      </rPr>
      <t>or</t>
    </r>
    <r>
      <rPr>
        <b/>
        <sz val="11"/>
        <color theme="1"/>
        <rFont val="Arial"/>
        <family val="2"/>
      </rPr>
      <t xml:space="preserve"> enter average flow rates and number of leaks per mile below</t>
    </r>
  </si>
  <si>
    <t>From water loss audit reports submitted per Water Code §10608.34</t>
  </si>
  <si>
    <r>
      <t>Default = 1, Adapted from Water Research Foundation 4372a Leakage Component Analysis Model</t>
    </r>
    <r>
      <rPr>
        <vertAlign val="superscript"/>
        <sz val="10"/>
        <color theme="1"/>
        <rFont val="Arial"/>
        <family val="2"/>
      </rPr>
      <t>3</t>
    </r>
  </si>
  <si>
    <t>Active leak detection and repair costs</t>
  </si>
  <si>
    <t>Based on data collected by State Water Board staff or data provided by supplier,supported by supplier records. See 'CollectedData_References' tab for a summary of the data collected by the Water Board</t>
  </si>
  <si>
    <t xml:space="preserve">Tracking leakage reduction across time horizon </t>
  </si>
  <si>
    <t>Years of implementation  (for reference)</t>
  </si>
  <si>
    <t>Reported leaks on mains</t>
  </si>
  <si>
    <t>Number of reported leaks per year</t>
  </si>
  <si>
    <t>leaks per 1000 connections per year</t>
  </si>
  <si>
    <t>Number of unreported leaks on mains</t>
  </si>
  <si>
    <t>leaks per 1000 service connections</t>
  </si>
  <si>
    <t>Reported leakage from mains</t>
  </si>
  <si>
    <t>Reported leakage from service connections (main to curb stop)</t>
  </si>
  <si>
    <t>$ per leak</t>
  </si>
  <si>
    <t>Number of total unreported leaks on mains</t>
  </si>
  <si>
    <t>Number of unreported leaks on service connections (main to curb stop)</t>
  </si>
  <si>
    <t>Number of total unreported leaks on service connections</t>
  </si>
  <si>
    <t>Repair costs for leaks on mains</t>
  </si>
  <si>
    <t>Repair costs for leaks on laterals</t>
  </si>
  <si>
    <t>2. (a) Leakage profile of urban retail water supplier</t>
  </si>
  <si>
    <t>Included in unit cost</t>
  </si>
  <si>
    <t>$295 / mile for metal pipes                                              $595 / mile for non-metallic pipe</t>
  </si>
  <si>
    <t>Repair costs</t>
  </si>
  <si>
    <t>Stormwater</t>
  </si>
  <si>
    <t>Indirect potable reuse</t>
  </si>
  <si>
    <t>Brackish water desalination</t>
  </si>
  <si>
    <t>Cost (2015 dollars)</t>
  </si>
  <si>
    <t>Alternative water supplies</t>
  </si>
  <si>
    <t>Costs (2019 dollars)</t>
  </si>
  <si>
    <t>Consumer price index for 2019</t>
  </si>
  <si>
    <t>Type of piping</t>
  </si>
  <si>
    <t>Cleveland, Ohio</t>
  </si>
  <si>
    <t>Metallic</t>
  </si>
  <si>
    <t>Unit cost per mile</t>
  </si>
  <si>
    <t>Location of contractor</t>
  </si>
  <si>
    <t>National</t>
  </si>
  <si>
    <t>Plastic</t>
  </si>
  <si>
    <t>Regional (small water utilities)</t>
  </si>
  <si>
    <t>$185 (local) - $275 (non-local)</t>
  </si>
  <si>
    <t>$395 (local) - $495 (non-local)</t>
  </si>
  <si>
    <t>Single Unit</t>
  </si>
  <si>
    <r>
      <t xml:space="preserve"> 50 - 92%</t>
    </r>
    <r>
      <rPr>
        <vertAlign val="superscript"/>
        <sz val="10"/>
        <color theme="1"/>
        <rFont val="Arial"/>
        <family val="2"/>
      </rPr>
      <t>b</t>
    </r>
  </si>
  <si>
    <t>Consumer price index for 2015</t>
  </si>
  <si>
    <t>January</t>
  </si>
  <si>
    <t>February</t>
  </si>
  <si>
    <t>March</t>
  </si>
  <si>
    <t>April</t>
  </si>
  <si>
    <t>May</t>
  </si>
  <si>
    <t>Projected consumer index for 2020:</t>
  </si>
  <si>
    <t>Consumer Price Index: West Region (All commodities), 2020</t>
  </si>
  <si>
    <t>Cost (2020 dollars)</t>
  </si>
  <si>
    <t>Imported water (Metropolitan Water District,2019): $ 1015 per acre-feet</t>
  </si>
  <si>
    <t>Consumer price index for 2020</t>
  </si>
  <si>
    <t>Correlator/Logger</t>
  </si>
  <si>
    <t xml:space="preserve"> Provided by Kunkel Water Efficiency Consulting</t>
  </si>
  <si>
    <t>Leak detection cost estimates (including surveying and pinpointing)</t>
  </si>
  <si>
    <t>Leak detection costs - Summary (Scroll down for cost estimates)</t>
  </si>
  <si>
    <t>Provided by Water Systems Optimization</t>
  </si>
  <si>
    <t>Additional details</t>
  </si>
  <si>
    <t xml:space="preserve">$250 - $400 </t>
  </si>
  <si>
    <t>Includes surveying and pinpointing</t>
  </si>
  <si>
    <t>Provided by M.E. Simpson</t>
  </si>
  <si>
    <t>Pipe material</t>
  </si>
  <si>
    <t>Life cycle</t>
  </si>
  <si>
    <t>Listening devices</t>
  </si>
  <si>
    <t>7 years</t>
  </si>
  <si>
    <t>Correlators</t>
  </si>
  <si>
    <t>Provided by the Municipal Water District of Orange County per their Shared Services Agreement (Fiscal Year 2019-20)</t>
  </si>
  <si>
    <t xml:space="preserve">Unit cost </t>
  </si>
  <si>
    <t>Additional detail</t>
  </si>
  <si>
    <t>Deliverables include:
Distribution System Leak Detection Plan and Weekly progress reporting and leak verification (All indications of leaks found during initial survey will be verified a second time, after which the leak will be pinpointed with a computer-based leak sound correlator whenever possible.)</t>
  </si>
  <si>
    <t>$347 per leak</t>
  </si>
  <si>
    <t>Includes: Suspected leak consultation, Field leak investigation, Written report and pinpointed leak location</t>
  </si>
  <si>
    <t>Other cost estimates from vendors</t>
  </si>
  <si>
    <t>$278 per mile (Under 50 miles)  $350 per mile (50 - 100 miles)    $300 per mile (Over 100 miles)</t>
  </si>
  <si>
    <t>Average cost per mile including correlation</t>
  </si>
  <si>
    <t>Calculated based on 0.75 leaks per 1000 service connections and 0.01 main leaks per mile. The median number of connections per mile of main was 74.</t>
  </si>
  <si>
    <t>c/d. Costs are total costs per mile, including labor and equipment cost. Variances in costs are also due to size of survey, type of pipe material and logistical issues withing the water system.</t>
  </si>
  <si>
    <t>Unit cost per mile (survey and pinpointing)</t>
  </si>
  <si>
    <t>$177 - $595</t>
  </si>
  <si>
    <t>Repair costs for laterals and service line leaks</t>
  </si>
  <si>
    <t>Provided by Kunkel Water Efficiency Consulting based on the Philadelphia Water Department leak detection program</t>
  </si>
  <si>
    <t>Provided by Water Systems Optimization Inc.</t>
  </si>
  <si>
    <t xml:space="preserve">This method is used such that the model can consider cases of partial distribution system surveys. This is a simplifying method for the calculations, and calculates benefit and cost after each month.                         </t>
  </si>
  <si>
    <t xml:space="preserve">Assumptions: (1) The system is divided into parts based on how many parts can be reasonably surveyed in each time step. (2) The leakage is spread out uniformly throughout the system.                    </t>
  </si>
  <si>
    <t>Typical costs per leak:</t>
  </si>
  <si>
    <t xml:space="preserve"> $3500 - $5000</t>
  </si>
  <si>
    <t xml:space="preserve">Average cost per leak </t>
  </si>
  <si>
    <t>Service leaks</t>
  </si>
  <si>
    <t>Abandoned services</t>
  </si>
  <si>
    <t>Hydrant leaks</t>
  </si>
  <si>
    <t>Valve leaks</t>
  </si>
  <si>
    <t>Type of leak</t>
  </si>
  <si>
    <t>Unit repair cost per leak</t>
  </si>
  <si>
    <t>Average unit cost:</t>
  </si>
  <si>
    <t>(assuming equal probability for all types of leaks)</t>
  </si>
  <si>
    <t>Average cost per leak using these estimates:</t>
  </si>
  <si>
    <t>From the Los Angeles Water Action Plan (2015)</t>
  </si>
  <si>
    <t>Total Operations and Maintenance (per year)</t>
  </si>
  <si>
    <t>Miles to be surveyed</t>
  </si>
  <si>
    <t xml:space="preserve">Total capital costs </t>
  </si>
  <si>
    <t>(equipment, one-time)</t>
  </si>
  <si>
    <t>Annualized cost over lifecycle</t>
  </si>
  <si>
    <t>Present value of annuity factor</t>
  </si>
  <si>
    <t>Unit cost per mile ($)</t>
  </si>
  <si>
    <r>
      <t>Based on data from Irvine Ranch Water District, Kunkel Water Efficiency Consulting and PGE Report ET13PGE1451: Water System Leak Identification and Control Field Evaluation</t>
    </r>
    <r>
      <rPr>
        <vertAlign val="superscript"/>
        <sz val="10"/>
        <rFont val="Arial"/>
        <family val="2"/>
      </rPr>
      <t>7</t>
    </r>
  </si>
  <si>
    <t>Based on these data sets, the average repair cost is estimated to be:</t>
  </si>
  <si>
    <t>Services used by Water Systems Optimization in Nashville, TN: 6 miles per day ~ 120 miles per month</t>
  </si>
  <si>
    <t>Real discount rate</t>
  </si>
  <si>
    <t>Average unit leak repair costs for mains</t>
  </si>
  <si>
    <t>Unit average cost of leak detection surveying per mile (including upfront and maintenance costs)</t>
  </si>
  <si>
    <t>Effective timeline for lifecycle benefit-cost analysis</t>
  </si>
  <si>
    <t>leaks per 100 miles of mains</t>
  </si>
  <si>
    <t>Number of unreported leaks per year on mains</t>
  </si>
  <si>
    <t>gallons per year</t>
  </si>
  <si>
    <t>Three-year average, From water loss audits submitted annually (2017 to 2019)</t>
  </si>
  <si>
    <t>The cell here is blank for possible supplier input.  By default, the 'Calculations' tab calculates the reported leakage volume, using the values in cells B24 - B26 and B28 - B30 (Inputs tab)</t>
  </si>
  <si>
    <r>
      <t>Adapted from AWWA M36 Manual, Fourth Edition (2016)</t>
    </r>
    <r>
      <rPr>
        <vertAlign val="superscript"/>
        <sz val="10"/>
        <color theme="1"/>
        <rFont val="Arial"/>
        <family val="2"/>
      </rPr>
      <t>2</t>
    </r>
    <r>
      <rPr>
        <sz val="10"/>
        <color theme="1"/>
        <rFont val="Arial"/>
        <family val="2"/>
      </rPr>
      <t xml:space="preserve"> (Table 3-22)</t>
    </r>
  </si>
  <si>
    <t>Based on estimates from Kunkel Water Efficiency Consulting and Water System Optimization, Inc. All suppliers reported that the meter was located at the curbstop or property line in the water loss audits.</t>
  </si>
  <si>
    <r>
      <t xml:space="preserve">The </t>
    </r>
    <r>
      <rPr>
        <u/>
        <sz val="10"/>
        <color theme="1"/>
        <rFont val="Arial"/>
        <family val="2"/>
      </rPr>
      <t>benefit-cost analysis</t>
    </r>
    <r>
      <rPr>
        <sz val="10"/>
        <color theme="1"/>
        <rFont val="Arial"/>
        <family val="2"/>
      </rPr>
      <t xml:space="preserve"> and standard calculation begin at </t>
    </r>
    <r>
      <rPr>
        <u/>
        <sz val="10"/>
        <color theme="1"/>
        <rFont val="Arial"/>
        <family val="2"/>
      </rPr>
      <t>row 66 of this tab</t>
    </r>
    <r>
      <rPr>
        <sz val="10"/>
        <color theme="1"/>
        <rFont val="Arial"/>
        <family val="2"/>
      </rPr>
      <t>.</t>
    </r>
  </si>
  <si>
    <t xml:space="preserve">This section calculates the different components associated with the unavoidable annual real loss: Background, reported and unreported leakage using the AWWA M36 Manual, 2014. The background (undetectable leakage) is calculated first using an established formula. The Reported leakage is calculated based on typical flow rates and break rates. The unreported leakage is calculated as the leakage that remains after deducting reported and background leakage from the total leakage. The calculation is based on typical flow rates and number of leaks per mile associated with these different types of leakages from the AWWA M36 manual. </t>
  </si>
  <si>
    <r>
      <t>From AWWA M36 Manual, Fourth Edition (2016)</t>
    </r>
    <r>
      <rPr>
        <vertAlign val="superscript"/>
        <sz val="10"/>
        <color theme="1"/>
        <rFont val="Arial"/>
        <family val="2"/>
      </rPr>
      <t>2</t>
    </r>
    <r>
      <rPr>
        <sz val="10"/>
        <color theme="1"/>
        <rFont val="Arial"/>
        <family val="2"/>
      </rPr>
      <t xml:space="preserve"> (Table 3-22); 0.2 leaks per mile per year at 50 gallons per minute over 3 days' duration</t>
    </r>
  </si>
  <si>
    <r>
      <t>From AWWA M36 Manual, Fourth Edition (2016)</t>
    </r>
    <r>
      <rPr>
        <vertAlign val="superscript"/>
        <sz val="10"/>
        <color theme="1"/>
        <rFont val="Arial"/>
        <family val="2"/>
      </rPr>
      <t>2</t>
    </r>
    <r>
      <rPr>
        <sz val="10"/>
        <color theme="1"/>
        <rFont val="Arial"/>
        <family val="2"/>
      </rPr>
      <t xml:space="preserve"> (Table 3-22); 2.3 leaks per 1000 connections per year at 9.5 gallons per minute over 8 days' duration</t>
    </r>
  </si>
  <si>
    <t>Unreported leakage / (Unreported+Reported+Background) leakages</t>
  </si>
  <si>
    <r>
      <t>Adapted from AWWA M36 Manual, Fourth Edition (2016)</t>
    </r>
    <r>
      <rPr>
        <vertAlign val="superscript"/>
        <sz val="10"/>
        <color theme="1"/>
        <rFont val="Arial"/>
        <family val="2"/>
      </rPr>
      <t>2</t>
    </r>
    <r>
      <rPr>
        <sz val="10"/>
        <color theme="1"/>
        <rFont val="Arial"/>
        <family val="2"/>
      </rPr>
      <t xml:space="preserve"> (Table 3-22); 0.01 leaks per mile per year at 25 gallons per minute</t>
    </r>
  </si>
  <si>
    <r>
      <t>Adapted from AWWA M36 Manual, Fourth Edition (2016)</t>
    </r>
    <r>
      <rPr>
        <vertAlign val="superscript"/>
        <sz val="10"/>
        <color theme="1"/>
        <rFont val="Arial"/>
        <family val="2"/>
      </rPr>
      <t>2</t>
    </r>
    <r>
      <rPr>
        <sz val="10"/>
        <color theme="1"/>
        <rFont val="Arial"/>
        <family val="2"/>
      </rPr>
      <t xml:space="preserve"> (Table 3-22); 0.75 leaks per 1000 service connections per year at 9.5 gallons per minute</t>
    </r>
  </si>
  <si>
    <t>Historical data from Metropolitan Water District: 2008 - 2020</t>
  </si>
  <si>
    <t>or default value</t>
  </si>
  <si>
    <t>References for default inputs in model :</t>
  </si>
  <si>
    <t>Unreported leakage: If supplier has information, enter as volume below (Background leakage + Reported leakage + Unreported leakage) must equal Three-year average real loss</t>
  </si>
  <si>
    <t>Or</t>
  </si>
  <si>
    <t>Anticipated timeline as lifecycle for accruing costs and benefits associated with real loss reduction. This timeline covers the lifecycle of active leak detection and repair implementation, and associated leakage reduction or maintenance and continued maintenance of leakage per the standard.</t>
  </si>
  <si>
    <t>Water loss Economic Model - Equations in the model</t>
  </si>
  <si>
    <t>Water Loss Economic Model - References and Data</t>
  </si>
  <si>
    <t>Water loss performance standard - Leakage Reduction and Benefit-Cost Analysis</t>
  </si>
  <si>
    <t>Water loss performance standard - Input</t>
  </si>
  <si>
    <t>Prices are converted to one year (2019) to obtain real prices and then compared. (Consumer Price Index: West Region (All commodities): Bureau of Labor Statistics, https://www.bls.gov/cpi/data.htm</t>
  </si>
  <si>
    <t>Source: Metropolitan Water district, Historical Water rates</t>
  </si>
  <si>
    <t>Value of Water</t>
  </si>
  <si>
    <t>2. (b) Associated unit costs and marginal avoided cost of water</t>
  </si>
  <si>
    <t>PG&amp;E</t>
  </si>
  <si>
    <t>Irvine ranch Water District (Transposed)</t>
  </si>
  <si>
    <t>(20)</t>
  </si>
  <si>
    <t>(21)</t>
  </si>
  <si>
    <t>Benefit-Cost Ratio over 30 years</t>
  </si>
  <si>
    <t>Benefit-Cost Ratio over 20 years</t>
  </si>
  <si>
    <t>Benefit-Cost Ratio over 10 years</t>
  </si>
  <si>
    <t>Benefit-Cost Ratio (2022 to 2027)</t>
  </si>
  <si>
    <r>
      <rPr>
        <b/>
        <u/>
        <sz val="11"/>
        <color theme="1"/>
        <rFont val="Arial"/>
        <family val="2"/>
      </rPr>
      <t>Equations:</t>
    </r>
    <r>
      <rPr>
        <sz val="11"/>
        <color theme="1"/>
        <rFont val="Arial"/>
        <family val="2"/>
      </rPr>
      <t xml:space="preserve"> This tab provides all equations with unit conversions in detail. An additional detailed guidance document with a change sheet describes the working of the model</t>
    </r>
  </si>
  <si>
    <t>1. Water loss audit reports, 2020, Department of Water Resources: https://wuedata.water.ca.gov/, Accessed: July 2020</t>
  </si>
  <si>
    <t>Average baseline real loss</t>
  </si>
  <si>
    <t>Annual background leakage, if known</t>
  </si>
  <si>
    <t>Annual reported leakage, if known</t>
  </si>
  <si>
    <t>Annual unreported leakage, if known</t>
  </si>
  <si>
    <t>Annual background leakage (acre-feet per year)</t>
  </si>
  <si>
    <t>Annual reported leakage (acre-feet per year)</t>
  </si>
  <si>
    <t>Annual unreported leakage (acre-feet per year)</t>
  </si>
  <si>
    <t>Average length of mains</t>
  </si>
  <si>
    <t>Average number of service connections</t>
  </si>
  <si>
    <t>Average variable production cost of water</t>
  </si>
  <si>
    <t>Average of current annual real loss reported in annual water loss audits (2017 to 2020)</t>
  </si>
  <si>
    <t>Average of length of mains reported in annual water loss audits (2017 to 2020)</t>
  </si>
  <si>
    <t>Average of number of active and inactive service connections reported in annual water loss audits (2017 to 2020)</t>
  </si>
  <si>
    <t>Average of variable production cost reported in annual water loss audits (2017 to 2020)</t>
  </si>
  <si>
    <t>Average of average operating pressure reported in annual water loss audits (2017 to 2020)</t>
  </si>
  <si>
    <r>
      <rPr>
        <b/>
        <sz val="10"/>
        <rFont val="Arial"/>
        <family val="2"/>
      </rPr>
      <t>Note:</t>
    </r>
    <r>
      <rPr>
        <sz val="10"/>
        <rFont val="Arial"/>
        <family val="2"/>
      </rPr>
      <t xml:space="preserve"> For a summary of the data collected by the State Water Board, see 'CollectedData_References' tab </t>
    </r>
  </si>
  <si>
    <t>Average duration between reporting of and repair of reported leaks</t>
  </si>
  <si>
    <t>Average flow rate for reported leaks</t>
  </si>
  <si>
    <t xml:space="preserve">Average survey rate based on communications with vendors, and water suppliers. The cell here is blank for possible supplier input. By default, the 'Calculations' tab calculates the average survey frequency for the following system sizes based on the following default survey frequencies: 6000 miles and above - 130 miles per month; 4000 miles and above - 114 miles per month; 1000 miles and above: Once in three years; 500 miles and above: Once in 2.5 years; Below 500 miles: Once every 2 years. Refer to the 'CollectedData_References' for data establishing these survey rates. These survey rates can include all types of proactive leak detection including visual surveying.                                                                                                                                                                                                              </t>
  </si>
  <si>
    <t xml:space="preserve">For calculation of intervention costs for reducing unreported leakage, includes surveying and pinpointing (see rows 46 and 47 for repair costs)                                                                                                                                                                                                                                         </t>
  </si>
  <si>
    <t>Represents the average number of actual leaks found on excavation as a percent of the total detected leaks including false positives expected to be pinpointed by leak detection equipment over the time horizon. As per vendor and water supplier knowledge based on field implementation, this efficiency increases with higher training and experience. This parameter adds the cost of additional excavation associated with locating leaks pinpointed by false positives, without the benefits of water loss reduction, to the overall costs of leak detection and repair.</t>
  </si>
  <si>
    <t>The model conducts a cost-benefit analysis to evaluate cost-effectiveness between reducing real loss and maintaining current real loss. The time horizon for the cost-benefit analysis is 30 years, which includes the lifecycles of water loss control actions and covers costs and benefits occuring beyond the compliance timeline of the regulation. The benefits associated with real loss reduction depend on the rise of price water, discount rate, value of avoided cost of water (previous section) and the volume of real loss reduced. The rise in price of water and discount rate are determined by State Water Board staff and are fixed for the model. Additional details are presented in the 'CollectedData_References' tab.</t>
  </si>
  <si>
    <t>Based on Historical data from Metropolitan Water District: 2008 - 2018 - Converted to real prices in 2020$</t>
  </si>
  <si>
    <r>
      <rPr>
        <i/>
        <sz val="10"/>
        <color theme="1"/>
        <rFont val="Arial"/>
        <family val="2"/>
      </rPr>
      <t>For background leakage calculation; Adapted from Water Research Foundation 4372a Leakage Component Analysis Model</t>
    </r>
    <r>
      <rPr>
        <i/>
        <vertAlign val="superscript"/>
        <sz val="10"/>
        <color theme="1"/>
        <rFont val="Arial"/>
        <family val="2"/>
      </rPr>
      <t>3</t>
    </r>
    <r>
      <rPr>
        <sz val="10"/>
        <color theme="1"/>
        <rFont val="Arial"/>
        <family val="2"/>
      </rPr>
      <t xml:space="preserve">                                                                                                                                     </t>
    </r>
  </si>
  <si>
    <r>
      <t>The cell here is blank for possible supplier input. By default, the 'Calculations' tab calculates the background leakage volume, using Equation (7-5), AWWA M36 Manual, 2016</t>
    </r>
    <r>
      <rPr>
        <vertAlign val="superscript"/>
        <sz val="10"/>
        <color theme="1"/>
        <rFont val="Arial"/>
        <family val="2"/>
      </rPr>
      <t>2</t>
    </r>
  </si>
  <si>
    <t>The cell here is blank for possible supplier input. By default, the 'Calculations' tab calculates the unreported leakage volume based on the average baseline real loss, annual background and annual reported leakage.</t>
  </si>
  <si>
    <t>Annual unreported leakage</t>
  </si>
  <si>
    <t>Annual reported leakage</t>
  </si>
  <si>
    <t>Three-year average, From water loss audits submitted annually (2017 to 2020)</t>
  </si>
  <si>
    <t>Month of implementation since 2022                                (Based on a 30 year time horizon)</t>
  </si>
  <si>
    <t>Water loss due to natural rise in leakage in  never surveyed parts in each month</t>
  </si>
  <si>
    <t>Water loss due to natural rise in leakage in previously surveyed parts in each month</t>
  </si>
  <si>
    <t>Water saved due to water loss control in each month with intervention</t>
  </si>
  <si>
    <r>
      <t xml:space="preserve">Cost associated with leak </t>
    </r>
    <r>
      <rPr>
        <b/>
        <u/>
        <sz val="10"/>
        <rFont val="Arial"/>
        <family val="2"/>
      </rPr>
      <t>detection</t>
    </r>
    <r>
      <rPr>
        <b/>
        <sz val="10"/>
        <color theme="1"/>
        <rFont val="Arial"/>
        <family val="2"/>
      </rPr>
      <t xml:space="preserve"> in each month with intervention</t>
    </r>
  </si>
  <si>
    <r>
      <t xml:space="preserve">Incremental cost associated with leak </t>
    </r>
    <r>
      <rPr>
        <b/>
        <u/>
        <sz val="10"/>
        <rFont val="Arial"/>
        <family val="2"/>
      </rPr>
      <t>repair</t>
    </r>
    <r>
      <rPr>
        <b/>
        <sz val="10"/>
        <color theme="1"/>
        <rFont val="Arial"/>
        <family val="2"/>
      </rPr>
      <t xml:space="preserve"> in each month with intervention</t>
    </r>
  </si>
  <si>
    <r>
      <t xml:space="preserve">Total cost of </t>
    </r>
    <r>
      <rPr>
        <b/>
        <u/>
        <sz val="10"/>
        <color theme="1"/>
        <rFont val="Arial"/>
        <family val="2"/>
      </rPr>
      <t>leak detection and repair</t>
    </r>
    <r>
      <rPr>
        <b/>
        <sz val="10"/>
        <color theme="1"/>
        <rFont val="Arial"/>
        <family val="2"/>
      </rPr>
      <t xml:space="preserve"> in each month with intervention</t>
    </r>
  </si>
  <si>
    <t>Present value of total cost of leak detection and repair for each month with intervention</t>
  </si>
  <si>
    <t>Marginal cost of water including rise in cost of water and avoided cost of alternative supplies in each month (begins in year 2022)</t>
  </si>
  <si>
    <t>Value of water loss reduced in each month with intervention</t>
  </si>
  <si>
    <t>Present value of water loss reduced for each month with intervention</t>
  </si>
  <si>
    <t>Net benefit for each month with intervention</t>
  </si>
  <si>
    <t>Present value of net benefit (Benefit - Cost) corresponding to each month with intervention (red indicates negative)</t>
  </si>
  <si>
    <t>Water loss due to backlog of leakage in unsurveyed parts in each month (acre-feet)</t>
  </si>
  <si>
    <t>Months taken to survey whole system</t>
  </si>
  <si>
    <t>$</t>
  </si>
  <si>
    <t>Cost associated with leak detection per month + Cost associated with leak repair per month</t>
  </si>
  <si>
    <t>Annual background leakage</t>
  </si>
  <si>
    <t>Number of reported leaks per year (mains)</t>
  </si>
  <si>
    <t>Number of reported leaks per year (service connections and laterals)</t>
  </si>
  <si>
    <t>Average unit cost of leak repair for laterals and service lines (mains to curb stop)</t>
  </si>
  <si>
    <r>
      <t xml:space="preserve">Cost for leak </t>
    </r>
    <r>
      <rPr>
        <u/>
        <sz val="10"/>
        <color theme="1"/>
        <rFont val="Arial"/>
        <family val="2"/>
      </rPr>
      <t>detection</t>
    </r>
    <r>
      <rPr>
        <sz val="10"/>
        <color theme="1"/>
        <rFont val="Arial"/>
        <family val="2"/>
      </rPr>
      <t xml:space="preserve"> per month of surveying</t>
    </r>
  </si>
  <si>
    <t>Unreported leakage level for parts surveyed each month (to calculate number of leaks) with intervention</t>
  </si>
  <si>
    <t>Reported leaks on laterals and service lines (main to curb stop)</t>
  </si>
  <si>
    <t>Number of unreported leaks per year on lateral and service lines (main to curb stop)</t>
  </si>
  <si>
    <t>Unreported leakage per part of system (Initial without rise in leakage)</t>
  </si>
  <si>
    <t>Annual average rise in leakage per part of system</t>
  </si>
  <si>
    <t>Water loss occuring without intervention in each month (equal to that prior to first survey)</t>
  </si>
  <si>
    <t>Version 3.0: November 12, 2020</t>
  </si>
  <si>
    <t>Years taken to survey system</t>
  </si>
  <si>
    <t>Typical number of miles surveyed per day (all leak detection methods)</t>
  </si>
  <si>
    <t>Water loss due to backlog of leakage from parts not surveyed in each month</t>
  </si>
  <si>
    <t>Total water loss occurring per month with intervention</t>
  </si>
  <si>
    <t xml:space="preserve"> </t>
  </si>
  <si>
    <t>Largest water supply systems:</t>
  </si>
  <si>
    <t>Los Angeles Department of Water and Power is the largest system with distribution system pipeline greater than 6000 miles. As per conversations, LADWP is currently planning its active leak detection program. To address the size of the system, staff estimated a reasonable default value leak detection survey rate based on consultant estimates which would also include visual inspection. Staff based the default value for the average survey frequency for East Bay Municipal Utillity District on their current leak detection program and range of survey frequency provided by consultants which is then subject to supplier-specific input and supporting documentation similar to all suppliers.</t>
  </si>
  <si>
    <t>The primary objective of this model is to calculate water loss performance standards for urban retail water suppliers in California pursuant to Water Code 10608.34. This spreadsheet was developed to conduct a cost-benefit analysis for any additional actions anticipated to be taken by urban retail water suppliers to reduce water loss from leakage to an economically feasible levels. The model uses data from water loss audit reports submitted annually in California, industry and literature based estimates for costs and benefits associated with water loss control actions that are anticipated to be accrued. The model calculates water loss performance standards based on economically feasible water loss reductions by 2028 from active leak detection and repair per available data.</t>
  </si>
  <si>
    <t>Kartiki Naik at kartiki.naik@waterboards.ca.gov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</si>
</sst>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4" formatCode="_(&quot;$&quot;* #,##0.00_);_(&quot;$&quot;* \(#,##0.00\);_(&quot;$&quot;* &quot;-&quot;??_);_(@_)"/>
    <numFmt numFmtId="164" formatCode="0.0"/>
    <numFmt numFmtId="165" formatCode="0.000"/>
    <numFmt numFmtId="166" formatCode="0.0%"/>
    <numFmt numFmtId="167" formatCode="&quot;$&quot;#,##0"/>
    <numFmt numFmtId="168" formatCode="#0.000"/>
    <numFmt numFmtId="169" formatCode="&quot;$&quot;#,##0.0_);[Red]\(&quot;$&quot;#,##0.0\)"/>
  </numFmts>
  <fonts count="50" x14ac:knownFonts="1">
    <font>
      <sz val="11"/>
      <color theme="1"/>
      <name val="Calibri"/>
      <family val="2"/>
      <scheme val="minor"/>
    </font>
    <font>
      <b/>
      <sz val="16"/>
      <color theme="1"/>
      <name val="Arial"/>
      <family val="2"/>
    </font>
    <font>
      <sz val="11"/>
      <color theme="1"/>
      <name val="Arial"/>
      <family val="2"/>
    </font>
    <font>
      <b/>
      <sz val="11"/>
      <color theme="1"/>
      <name val="Arial"/>
      <family val="2"/>
    </font>
    <font>
      <b/>
      <sz val="12"/>
      <color theme="1"/>
      <name val="Arial"/>
      <family val="2"/>
    </font>
    <font>
      <i/>
      <sz val="11"/>
      <color theme="1"/>
      <name val="Arial"/>
      <family val="2"/>
    </font>
    <font>
      <b/>
      <sz val="12"/>
      <name val="Arial"/>
      <family val="2"/>
    </font>
    <font>
      <sz val="11"/>
      <name val="Arial"/>
      <family val="2"/>
    </font>
    <font>
      <b/>
      <sz val="16"/>
      <color theme="4" tint="-0.249977111117893"/>
      <name val="Arial"/>
      <family val="2"/>
    </font>
    <font>
      <b/>
      <sz val="20"/>
      <color theme="1"/>
      <name val="Arial"/>
      <family val="2"/>
    </font>
    <font>
      <b/>
      <u/>
      <sz val="11"/>
      <color theme="1"/>
      <name val="Arial"/>
      <family val="2"/>
    </font>
    <font>
      <b/>
      <sz val="14"/>
      <color theme="1"/>
      <name val="Arial"/>
      <family val="2"/>
    </font>
    <font>
      <sz val="11"/>
      <color theme="4" tint="-0.249977111117893"/>
      <name val="Arial"/>
      <family val="2"/>
    </font>
    <font>
      <b/>
      <sz val="11"/>
      <color rgb="FF00B050"/>
      <name val="Arial"/>
      <family val="2"/>
    </font>
    <font>
      <sz val="10"/>
      <color theme="1"/>
      <name val="Arial"/>
      <family val="2"/>
    </font>
    <font>
      <sz val="10"/>
      <name val="Arial"/>
      <family val="2"/>
    </font>
    <font>
      <sz val="10"/>
      <color theme="4" tint="-0.249977111117893"/>
      <name val="Arial"/>
      <family val="2"/>
    </font>
    <font>
      <i/>
      <sz val="10"/>
      <color theme="1"/>
      <name val="Arial"/>
      <family val="2"/>
    </font>
    <font>
      <i/>
      <u/>
      <sz val="10"/>
      <color theme="1"/>
      <name val="Arial"/>
      <family val="2"/>
    </font>
    <font>
      <b/>
      <sz val="13"/>
      <color theme="1"/>
      <name val="Arial"/>
      <family val="2"/>
    </font>
    <font>
      <u/>
      <sz val="10"/>
      <color theme="1"/>
      <name val="Arial"/>
      <family val="2"/>
    </font>
    <font>
      <b/>
      <sz val="11"/>
      <name val="Arial"/>
      <family val="2"/>
    </font>
    <font>
      <sz val="9"/>
      <color theme="1"/>
      <name val="Arial"/>
      <family val="2"/>
    </font>
    <font>
      <vertAlign val="superscript"/>
      <sz val="10"/>
      <color theme="1"/>
      <name val="Arial"/>
      <family val="2"/>
    </font>
    <font>
      <b/>
      <sz val="10"/>
      <color theme="1"/>
      <name val="Arial"/>
      <family val="2"/>
    </font>
    <font>
      <b/>
      <u/>
      <sz val="10"/>
      <name val="Arial"/>
      <family val="2"/>
    </font>
    <font>
      <b/>
      <u/>
      <sz val="10"/>
      <color theme="1"/>
      <name val="Arial"/>
      <family val="2"/>
    </font>
    <font>
      <b/>
      <sz val="10"/>
      <color rgb="FF0070C0"/>
      <name val="Arial"/>
      <family val="2"/>
    </font>
    <font>
      <b/>
      <sz val="12"/>
      <color rgb="FF0070C0"/>
      <name val="Arial"/>
      <family val="2"/>
    </font>
    <font>
      <u/>
      <sz val="11"/>
      <color theme="10"/>
      <name val="Calibri"/>
      <family val="2"/>
      <scheme val="minor"/>
    </font>
    <font>
      <u/>
      <sz val="10"/>
      <color theme="10"/>
      <name val="Arial"/>
      <family val="2"/>
    </font>
    <font>
      <b/>
      <sz val="9"/>
      <color theme="1"/>
      <name val="Arial"/>
      <family val="2"/>
    </font>
    <font>
      <b/>
      <sz val="11"/>
      <color theme="1"/>
      <name val="Calibri"/>
      <family val="2"/>
      <scheme val="minor"/>
    </font>
    <font>
      <sz val="11"/>
      <color theme="1"/>
      <name val="Calibri"/>
      <family val="2"/>
      <scheme val="minor"/>
    </font>
    <font>
      <sz val="10"/>
      <color indexed="8"/>
      <name val="Arial"/>
      <family val="2"/>
    </font>
    <font>
      <b/>
      <u/>
      <sz val="12"/>
      <color theme="1"/>
      <name val="Arial"/>
      <family val="2"/>
    </font>
    <font>
      <u/>
      <sz val="12"/>
      <color theme="1"/>
      <name val="Arial"/>
      <family val="2"/>
    </font>
    <font>
      <sz val="12"/>
      <color theme="1"/>
      <name val="Arial"/>
      <family val="2"/>
    </font>
    <font>
      <i/>
      <sz val="12"/>
      <color theme="1"/>
      <name val="Cambria"/>
      <family val="1"/>
    </font>
    <font>
      <sz val="12"/>
      <color theme="1"/>
      <name val="Symbol"/>
      <family val="1"/>
      <charset val="2"/>
    </font>
    <font>
      <sz val="12"/>
      <color theme="1"/>
      <name val="Courier New"/>
      <family val="3"/>
    </font>
    <font>
      <b/>
      <vertAlign val="superscript"/>
      <sz val="13"/>
      <color theme="1"/>
      <name val="Arial"/>
      <family val="2"/>
    </font>
    <font>
      <b/>
      <u/>
      <sz val="16"/>
      <color theme="1"/>
      <name val="Arial"/>
      <family val="2"/>
    </font>
    <font>
      <b/>
      <u/>
      <sz val="14"/>
      <color theme="1"/>
      <name val="Arial"/>
      <family val="2"/>
    </font>
    <font>
      <vertAlign val="superscript"/>
      <sz val="10"/>
      <name val="Arial"/>
      <family val="2"/>
    </font>
    <font>
      <b/>
      <sz val="12"/>
      <color theme="2" tint="-0.749992370372631"/>
      <name val="Arial"/>
      <family val="2"/>
    </font>
    <font>
      <b/>
      <sz val="10"/>
      <name val="Arial"/>
      <family val="2"/>
    </font>
    <font>
      <sz val="9"/>
      <color rgb="FF000000"/>
      <name val="Arial"/>
      <family val="2"/>
    </font>
    <font>
      <sz val="10"/>
      <color rgb="FF000000"/>
      <name val="Arial"/>
      <family val="2"/>
    </font>
    <font>
      <i/>
      <vertAlign val="superscript"/>
      <sz val="10"/>
      <color theme="1"/>
      <name val="Arial"/>
      <family val="2"/>
    </font>
  </fonts>
  <fills count="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D3E7C7"/>
        <bgColor indexed="64"/>
      </patternFill>
    </fill>
  </fills>
  <borders count="126">
    <border>
      <left/>
      <right/>
      <top/>
      <bottom/>
      <diagonal/>
    </border>
    <border>
      <left/>
      <right/>
      <top style="thin">
        <color rgb="FFC00000"/>
      </top>
      <bottom style="thin">
        <color rgb="FFC00000"/>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style="thin">
        <color rgb="FFC00000"/>
      </top>
      <bottom style="thin">
        <color rgb="FFC00000"/>
      </bottom>
      <diagonal/>
    </border>
    <border>
      <left/>
      <right style="medium">
        <color theme="2" tint="-0.499984740745262"/>
      </right>
      <top style="thin">
        <color rgb="FFC00000"/>
      </top>
      <bottom style="thin">
        <color rgb="FFC00000"/>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medium">
        <color theme="2" tint="-0.499984740745262"/>
      </left>
      <right style="medium">
        <color theme="2" tint="-0.499984740745262"/>
      </right>
      <top/>
      <bottom/>
      <diagonal/>
    </border>
    <border>
      <left style="medium">
        <color theme="2" tint="-0.499984740745262"/>
      </left>
      <right style="medium">
        <color theme="2" tint="-0.499984740745262"/>
      </right>
      <top style="thin">
        <color rgb="FFC00000"/>
      </top>
      <bottom style="thin">
        <color rgb="FFC00000"/>
      </bottom>
      <diagonal/>
    </border>
    <border>
      <left style="medium">
        <color theme="2" tint="-0.499984740745262"/>
      </left>
      <right style="medium">
        <color theme="2" tint="-0.499984740745262"/>
      </right>
      <top/>
      <bottom style="medium">
        <color theme="2" tint="-0.499984740745262"/>
      </bottom>
      <diagonal/>
    </border>
    <border>
      <left style="medium">
        <color theme="2" tint="-0.499984740745262"/>
      </left>
      <right/>
      <top style="medium">
        <color theme="2" tint="-0.499984740745262"/>
      </top>
      <bottom/>
      <diagonal/>
    </border>
    <border>
      <left/>
      <right/>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17600024414813E-2"/>
      </left>
      <right style="thin">
        <color theme="2" tint="-9.9917600024414813E-2"/>
      </right>
      <top style="thin">
        <color theme="2" tint="-9.9917600024414813E-2"/>
      </top>
      <bottom style="thin">
        <color theme="2" tint="-9.9917600024414813E-2"/>
      </bottom>
      <diagonal/>
    </border>
    <border>
      <left style="medium">
        <color indexed="64"/>
      </left>
      <right style="medium">
        <color indexed="64"/>
      </right>
      <top style="medium">
        <color indexed="64"/>
      </top>
      <bottom style="medium">
        <color indexed="64"/>
      </bottom>
      <diagonal/>
    </border>
    <border>
      <left style="medium">
        <color theme="2" tint="-0.499984740745262"/>
      </left>
      <right/>
      <top/>
      <bottom style="thin">
        <color theme="2" tint="-9.9948118533890809E-2"/>
      </bottom>
      <diagonal/>
    </border>
    <border>
      <left/>
      <right style="medium">
        <color theme="2" tint="-0.499984740745262"/>
      </right>
      <top/>
      <bottom style="thin">
        <color theme="2" tint="-9.9948118533890809E-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9.9948118533890809E-2"/>
      </left>
      <right style="thin">
        <color theme="2" tint="-9.9948118533890809E-2"/>
      </right>
      <top style="thin">
        <color theme="2" tint="-9.9948118533890809E-2"/>
      </top>
      <bottom/>
      <diagonal/>
    </border>
    <border>
      <left style="medium">
        <color rgb="FF008AF2"/>
      </left>
      <right style="medium">
        <color rgb="FF008AF2"/>
      </right>
      <top style="medium">
        <color rgb="FF008AF2"/>
      </top>
      <bottom style="medium">
        <color rgb="FF008AF2"/>
      </bottom>
      <diagonal/>
    </border>
    <border>
      <left style="medium">
        <color rgb="FF008AF2"/>
      </left>
      <right style="medium">
        <color rgb="FF008AF2"/>
      </right>
      <top style="medium">
        <color rgb="FF008AF2"/>
      </top>
      <bottom/>
      <diagonal/>
    </border>
    <border>
      <left style="medium">
        <color rgb="FF008AF2"/>
      </left>
      <right style="medium">
        <color rgb="FF008AF2"/>
      </right>
      <top/>
      <bottom/>
      <diagonal/>
    </border>
    <border>
      <left style="medium">
        <color rgb="FF008AF2"/>
      </left>
      <right style="medium">
        <color rgb="FF008AF2"/>
      </right>
      <top/>
      <bottom style="medium">
        <color rgb="FF008AF2"/>
      </bottom>
      <diagonal/>
    </border>
    <border>
      <left style="thin">
        <color theme="2" tint="-9.9948118533890809E-2"/>
      </left>
      <right style="thin">
        <color theme="2" tint="-9.9948118533890809E-2"/>
      </right>
      <top/>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style="hair">
        <color indexed="64"/>
      </right>
      <top style="medium">
        <color theme="1" tint="0.499984740745262"/>
      </top>
      <bottom/>
      <diagonal/>
    </border>
    <border>
      <left style="hair">
        <color indexed="64"/>
      </left>
      <right style="hair">
        <color indexed="64"/>
      </right>
      <top style="medium">
        <color theme="1" tint="0.499984740745262"/>
      </top>
      <bottom/>
      <diagonal/>
    </border>
    <border>
      <left style="hair">
        <color indexed="64"/>
      </left>
      <right/>
      <top style="medium">
        <color theme="1" tint="0.499984740745262"/>
      </top>
      <bottom/>
      <diagonal/>
    </border>
    <border>
      <left/>
      <right style="medium">
        <color theme="1" tint="0.499984740745262"/>
      </right>
      <top style="medium">
        <color theme="1" tint="0.499984740745262"/>
      </top>
      <bottom/>
      <diagonal/>
    </border>
    <border>
      <left/>
      <right style="medium">
        <color theme="1" tint="0.499984740745262"/>
      </right>
      <top/>
      <bottom/>
      <diagonal/>
    </border>
    <border>
      <left style="thin">
        <color theme="2" tint="-9.9917600024414813E-2"/>
      </left>
      <right style="thin">
        <color theme="2" tint="-9.9917600024414813E-2"/>
      </right>
      <top style="thin">
        <color theme="2" tint="-9.9917600024414813E-2"/>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2" tint="-0.24994659260841701"/>
      </left>
      <right/>
      <top style="medium">
        <color theme="2" tint="-0.24994659260841701"/>
      </top>
      <bottom/>
      <diagonal/>
    </border>
    <border>
      <left/>
      <right/>
      <top style="medium">
        <color theme="2" tint="-0.24994659260841701"/>
      </top>
      <bottom/>
      <diagonal/>
    </border>
    <border>
      <left/>
      <right style="medium">
        <color theme="2" tint="-0.24994659260841701"/>
      </right>
      <top style="medium">
        <color theme="2" tint="-0.24994659260841701"/>
      </top>
      <bottom/>
      <diagonal/>
    </border>
    <border>
      <left style="medium">
        <color theme="2" tint="-0.24994659260841701"/>
      </left>
      <right/>
      <top/>
      <bottom/>
      <diagonal/>
    </border>
    <border>
      <left/>
      <right style="medium">
        <color theme="2" tint="-0.24994659260841701"/>
      </right>
      <top/>
      <bottom/>
      <diagonal/>
    </border>
    <border>
      <left style="medium">
        <color theme="2" tint="-0.24994659260841701"/>
      </left>
      <right/>
      <top/>
      <bottom style="medium">
        <color theme="2" tint="-0.24994659260841701"/>
      </bottom>
      <diagonal/>
    </border>
    <border>
      <left/>
      <right/>
      <top/>
      <bottom style="medium">
        <color theme="2" tint="-0.24994659260841701"/>
      </bottom>
      <diagonal/>
    </border>
    <border>
      <left/>
      <right style="medium">
        <color theme="2" tint="-0.24994659260841701"/>
      </right>
      <top/>
      <bottom style="medium">
        <color theme="2" tint="-0.24994659260841701"/>
      </bottom>
      <diagonal/>
    </border>
    <border>
      <left/>
      <right/>
      <top style="thin">
        <color theme="2" tint="-9.9948118533890809E-2"/>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medium">
        <color theme="2" tint="-0.499984740745262"/>
      </bottom>
      <diagonal/>
    </border>
    <border>
      <left/>
      <right/>
      <top style="thin">
        <color theme="2" tint="-9.9948118533890809E-2"/>
      </top>
      <bottom style="medium">
        <color theme="2" tint="-0.499984740745262"/>
      </bottom>
      <diagonal/>
    </border>
    <border>
      <left/>
      <right style="medium">
        <color theme="2" tint="-0.499984740745262"/>
      </right>
      <top style="thin">
        <color theme="2" tint="-9.9948118533890809E-2"/>
      </top>
      <bottom style="medium">
        <color theme="2" tint="-0.499984740745262"/>
      </bottom>
      <diagonal/>
    </border>
    <border>
      <left style="thin">
        <color theme="2" tint="-9.9948118533890809E-2"/>
      </left>
      <right/>
      <top/>
      <bottom style="thin">
        <color theme="2" tint="-9.9948118533890809E-2"/>
      </bottom>
      <diagonal/>
    </border>
    <border>
      <left style="thin">
        <color theme="2" tint="-9.9887081514938816E-2"/>
      </left>
      <right/>
      <top style="thin">
        <color theme="2" tint="-9.9917600024414813E-2"/>
      </top>
      <bottom style="thin">
        <color theme="2" tint="-9.9948118533890809E-2"/>
      </bottom>
      <diagonal/>
    </border>
    <border>
      <left style="thin">
        <color theme="2" tint="-9.9917600024414813E-2"/>
      </left>
      <right style="thin">
        <color theme="2" tint="-9.9917600024414813E-2"/>
      </right>
      <top/>
      <bottom style="thin">
        <color theme="2" tint="-9.9917600024414813E-2"/>
      </bottom>
      <diagonal/>
    </border>
    <border>
      <left style="thin">
        <color theme="2" tint="-9.9948118533890809E-2"/>
      </left>
      <right style="thin">
        <color theme="2" tint="-9.9948118533890809E-2"/>
      </right>
      <top/>
      <bottom style="thin">
        <color theme="2" tint="-9.9948118533890809E-2"/>
      </bottom>
      <diagonal/>
    </border>
    <border>
      <left style="thin">
        <color theme="2" tint="-9.9917600024414813E-2"/>
      </left>
      <right style="thin">
        <color theme="2" tint="-9.9917600024414813E-2"/>
      </right>
      <top style="thin">
        <color theme="2" tint="-9.9887081514938816E-2"/>
      </top>
      <bottom style="thin">
        <color theme="2" tint="-9.9887081514938816E-2"/>
      </bottom>
      <diagonal/>
    </border>
    <border>
      <left style="thin">
        <color theme="2" tint="-9.9948118533890809E-2"/>
      </left>
      <right/>
      <top style="thin">
        <color theme="2" tint="-9.9948118533890809E-2"/>
      </top>
      <bottom/>
      <diagonal/>
    </border>
    <border>
      <left style="thin">
        <color theme="2" tint="-9.9917600024414813E-2"/>
      </left>
      <right style="thin">
        <color theme="2" tint="-9.9917600024414813E-2"/>
      </right>
      <top style="thin">
        <color theme="2" tint="-9.9948118533890809E-2"/>
      </top>
      <bottom style="thin">
        <color theme="2" tint="-9.9887081514938816E-2"/>
      </bottom>
      <diagonal/>
    </border>
    <border>
      <left/>
      <right/>
      <top style="thin">
        <color theme="2" tint="-9.9948118533890809E-2"/>
      </top>
      <bottom/>
      <diagonal/>
    </border>
    <border>
      <left/>
      <right style="medium">
        <color theme="2" tint="-0.499984740745262"/>
      </right>
      <top style="thin">
        <color theme="2" tint="-9.9948118533890809E-2"/>
      </top>
      <bottom/>
      <diagonal/>
    </border>
    <border>
      <left style="medium">
        <color theme="2" tint="-0.499984740745262"/>
      </left>
      <right/>
      <top style="thin">
        <color theme="2" tint="-9.9948118533890809E-2"/>
      </top>
      <bottom/>
      <diagonal/>
    </border>
    <border>
      <left style="thin">
        <color theme="2" tint="-9.985656300546282E-2"/>
      </left>
      <right/>
      <top style="thin">
        <color theme="2" tint="-9.9887081514938816E-2"/>
      </top>
      <bottom style="thin">
        <color theme="2" tint="-9.9948118533890809E-2"/>
      </bottom>
      <diagonal/>
    </border>
    <border>
      <left style="medium">
        <color theme="2" tint="-0.499984740745262"/>
      </left>
      <right/>
      <top style="thin">
        <color theme="2" tint="-9.9948118533890809E-2"/>
      </top>
      <bottom style="thin">
        <color theme="2" tint="-9.9948118533890809E-2"/>
      </bottom>
      <diagonal/>
    </border>
    <border>
      <left style="thin">
        <color indexed="64"/>
      </left>
      <right style="thin">
        <color indexed="64"/>
      </right>
      <top style="thin">
        <color indexed="64"/>
      </top>
      <bottom style="thin">
        <color indexed="64"/>
      </bottom>
      <diagonal/>
    </border>
    <border>
      <left style="thin">
        <color theme="2" tint="-0.24994659260841701"/>
      </left>
      <right/>
      <top style="medium">
        <color auto="1"/>
      </top>
      <bottom style="thin">
        <color theme="2" tint="-0.24994659260841701"/>
      </bottom>
      <diagonal/>
    </border>
    <border>
      <left/>
      <right/>
      <top style="medium">
        <color auto="1"/>
      </top>
      <bottom style="thin">
        <color theme="2" tint="-0.24994659260841701"/>
      </bottom>
      <diagonal/>
    </border>
    <border>
      <left/>
      <right style="thin">
        <color theme="2" tint="-0.24994659260841701"/>
      </right>
      <top style="medium">
        <color auto="1"/>
      </top>
      <bottom style="thin">
        <color theme="2" tint="-0.24994659260841701"/>
      </bottom>
      <diagonal/>
    </border>
    <border>
      <left style="medium">
        <color theme="2" tint="-0.499984740745262"/>
      </left>
      <right/>
      <top style="thin">
        <color theme="2" tint="-0.24994659260841701"/>
      </top>
      <bottom/>
      <diagonal/>
    </border>
    <border>
      <left/>
      <right style="medium">
        <color theme="2" tint="-0.499984740745262"/>
      </right>
      <top style="thin">
        <color theme="2" tint="-0.24994659260841701"/>
      </top>
      <bottom/>
      <diagonal/>
    </border>
    <border>
      <left/>
      <right style="medium">
        <color theme="2" tint="-0.499984740745262"/>
      </right>
      <top style="thin">
        <color theme="2" tint="-9.9948118533890809E-2"/>
      </top>
      <bottom style="thin">
        <color theme="2" tint="-9.9917600024414813E-2"/>
      </bottom>
      <diagonal/>
    </border>
    <border>
      <left style="medium">
        <color theme="1" tint="0.499984740745262"/>
      </left>
      <right/>
      <top/>
      <bottom/>
      <diagonal/>
    </border>
    <border>
      <left/>
      <right/>
      <top style="medium">
        <color theme="1" tint="0.499984740745262"/>
      </top>
      <bottom/>
      <diagonal/>
    </border>
    <border>
      <left style="medium">
        <color theme="2" tint="-0.499984740745262"/>
      </left>
      <right style="thin">
        <color theme="2" tint="-0.499984740745262"/>
      </right>
      <top/>
      <bottom style="thin">
        <color theme="2" tint="-9.9948118533890809E-2"/>
      </bottom>
      <diagonal/>
    </border>
    <border>
      <left style="thin">
        <color theme="2" tint="-0.499984740745262"/>
      </left>
      <right style="thin">
        <color theme="2" tint="-0.499984740745262"/>
      </right>
      <top/>
      <bottom style="thin">
        <color theme="2" tint="-9.9948118533890809E-2"/>
      </bottom>
      <diagonal/>
    </border>
    <border>
      <left style="thin">
        <color theme="2" tint="-0.499984740745262"/>
      </left>
      <right style="medium">
        <color theme="2" tint="-0.499984740745262"/>
      </right>
      <top/>
      <bottom style="thin">
        <color theme="2" tint="-9.9948118533890809E-2"/>
      </bottom>
      <diagonal/>
    </border>
    <border>
      <left style="medium">
        <color theme="2" tint="-0.499984740745262"/>
      </left>
      <right style="medium">
        <color theme="2" tint="-0.24994659260841701"/>
      </right>
      <top style="medium">
        <color theme="2" tint="-0.24994659260841701"/>
      </top>
      <bottom/>
      <diagonal/>
    </border>
    <border>
      <left style="medium">
        <color theme="2" tint="-0.499984740745262"/>
      </left>
      <right style="medium">
        <color theme="2" tint="-0.24994659260841701"/>
      </right>
      <top/>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style="thin">
        <color theme="2" tint="-9.9887081514938816E-2"/>
      </left>
      <right style="thin">
        <color theme="2" tint="-9.9887081514938816E-2"/>
      </right>
      <top/>
      <bottom style="thin">
        <color theme="2" tint="-9.9948118533890809E-2"/>
      </bottom>
      <diagonal/>
    </border>
    <border>
      <left style="thin">
        <color theme="2" tint="-9.9948118533890809E-2"/>
      </left>
      <right style="thin">
        <color theme="2" tint="-9.9948118533890809E-2"/>
      </right>
      <top style="thin">
        <color theme="2" tint="-9.9917600024414813E-2"/>
      </top>
      <bottom style="thin">
        <color theme="2" tint="-9.9948118533890809E-2"/>
      </bottom>
      <diagonal/>
    </border>
    <border>
      <left style="thin">
        <color theme="2" tint="-9.9917600024414813E-2"/>
      </left>
      <right/>
      <top style="thin">
        <color theme="2" tint="-9.9917600024414813E-2"/>
      </top>
      <bottom style="thin">
        <color theme="2" tint="-9.9948118533890809E-2"/>
      </bottom>
      <diagonal/>
    </border>
    <border>
      <left/>
      <right/>
      <top style="thin">
        <color theme="2" tint="-9.9917600024414813E-2"/>
      </top>
      <bottom style="thin">
        <color theme="2" tint="-9.9948118533890809E-2"/>
      </bottom>
      <diagonal/>
    </border>
    <border>
      <left/>
      <right style="medium">
        <color theme="2" tint="-0.499984740745262"/>
      </right>
      <top style="thin">
        <color theme="2" tint="-9.9917600024414813E-2"/>
      </top>
      <bottom style="thin">
        <color theme="2" tint="-9.9948118533890809E-2"/>
      </bottom>
      <diagonal/>
    </border>
    <border>
      <left/>
      <right/>
      <top style="thin">
        <color theme="2" tint="-9.9948118533890809E-2"/>
      </top>
      <bottom style="thin">
        <color theme="2" tint="-9.9917600024414813E-2"/>
      </bottom>
      <diagonal/>
    </border>
    <border>
      <left/>
      <right style="medium">
        <color theme="2" tint="-0.499984740745262"/>
      </right>
      <top style="thin">
        <color theme="2" tint="-9.9917600024414813E-2"/>
      </top>
      <bottom style="thin">
        <color theme="2" tint="-9.9917600024414813E-2"/>
      </bottom>
      <diagonal/>
    </border>
    <border>
      <left/>
      <right style="thin">
        <color theme="2" tint="-9.9948118533890809E-2"/>
      </right>
      <top/>
      <bottom/>
      <diagonal/>
    </border>
    <border>
      <left/>
      <right style="thin">
        <color theme="2" tint="-9.9948118533890809E-2"/>
      </right>
      <top/>
      <bottom style="thin">
        <color indexed="64"/>
      </bottom>
      <diagonal/>
    </border>
    <border>
      <left style="thin">
        <color indexed="64"/>
      </left>
      <right/>
      <top style="thin">
        <color theme="2"/>
      </top>
      <bottom/>
      <diagonal/>
    </border>
    <border>
      <left/>
      <right/>
      <top style="thin">
        <color theme="2"/>
      </top>
      <bottom/>
      <diagonal/>
    </border>
    <border>
      <left/>
      <right style="thin">
        <color indexed="64"/>
      </right>
      <top style="thin">
        <color theme="2"/>
      </top>
      <bottom/>
      <diagonal/>
    </border>
    <border>
      <left style="thin">
        <color indexed="64"/>
      </left>
      <right/>
      <top/>
      <bottom style="thin">
        <color theme="2"/>
      </bottom>
      <diagonal/>
    </border>
    <border>
      <left/>
      <right/>
      <top/>
      <bottom style="thin">
        <color theme="2"/>
      </bottom>
      <diagonal/>
    </border>
    <border>
      <left/>
      <right style="thin">
        <color indexed="64"/>
      </right>
      <top/>
      <bottom style="thin">
        <color theme="2"/>
      </bottom>
      <diagonal/>
    </border>
    <border>
      <left/>
      <right/>
      <top/>
      <bottom style="thin">
        <color theme="2" tint="-9.9917600024414813E-2"/>
      </bottom>
      <diagonal/>
    </border>
    <border>
      <left/>
      <right style="medium">
        <color theme="2" tint="-0.499984740745262"/>
      </right>
      <top/>
      <bottom style="thin">
        <color theme="2" tint="-9.9917600024414813E-2"/>
      </bottom>
      <diagonal/>
    </border>
    <border>
      <left style="thin">
        <color theme="2" tint="-9.9948118533890809E-2"/>
      </left>
      <right/>
      <top style="thin">
        <color theme="2" tint="-9.9917600024414813E-2"/>
      </top>
      <bottom/>
      <diagonal/>
    </border>
    <border>
      <left/>
      <right/>
      <top style="thin">
        <color theme="2" tint="-9.9917600024414813E-2"/>
      </top>
      <bottom/>
      <diagonal/>
    </border>
    <border>
      <left/>
      <right style="thin">
        <color indexed="64"/>
      </right>
      <top style="thin">
        <color theme="2" tint="-9.9917600024414813E-2"/>
      </top>
      <bottom/>
      <diagonal/>
    </border>
  </borders>
  <cellStyleXfs count="5">
    <xf numFmtId="0" fontId="0" fillId="0" borderId="0"/>
    <xf numFmtId="0" fontId="29" fillId="0" borderId="0" applyNumberFormat="0" applyFill="0" applyBorder="0" applyAlignment="0" applyProtection="0"/>
    <xf numFmtId="44" fontId="33" fillId="0" borderId="0" applyFont="0" applyFill="0" applyBorder="0" applyAlignment="0" applyProtection="0"/>
    <xf numFmtId="0" fontId="29" fillId="0" borderId="0"/>
    <xf numFmtId="44" fontId="33" fillId="0" borderId="0"/>
  </cellStyleXfs>
  <cellXfs count="741">
    <xf numFmtId="0" fontId="0" fillId="0" borderId="0" xfId="0"/>
    <xf numFmtId="0" fontId="8" fillId="6" borderId="0" xfId="0" applyFont="1" applyFill="1" applyBorder="1"/>
    <xf numFmtId="0" fontId="2" fillId="6" borderId="0" xfId="0" applyFont="1" applyFill="1" applyBorder="1"/>
    <xf numFmtId="0" fontId="0" fillId="6" borderId="0" xfId="0" applyFill="1"/>
    <xf numFmtId="0" fontId="3" fillId="6" borderId="0" xfId="0" applyFont="1" applyFill="1" applyBorder="1"/>
    <xf numFmtId="0" fontId="3" fillId="6" borderId="0" xfId="0" applyFont="1" applyFill="1" applyBorder="1" applyAlignment="1">
      <alignment horizontal="left"/>
    </xf>
    <xf numFmtId="0" fontId="6" fillId="6" borderId="0" xfId="0" applyFont="1" applyFill="1" applyBorder="1"/>
    <xf numFmtId="0" fontId="4" fillId="6" borderId="0" xfId="0" applyFont="1" applyFill="1" applyBorder="1"/>
    <xf numFmtId="0" fontId="3" fillId="6" borderId="0" xfId="0" applyFont="1" applyFill="1" applyBorder="1" applyAlignment="1">
      <alignment horizontal="center"/>
    </xf>
    <xf numFmtId="0" fontId="5" fillId="6" borderId="0" xfId="0" applyFont="1" applyFill="1" applyBorder="1"/>
    <xf numFmtId="0" fontId="1" fillId="6" borderId="0" xfId="0" applyFont="1" applyFill="1" applyBorder="1" applyAlignment="1">
      <alignment horizontal="center"/>
    </xf>
    <xf numFmtId="0" fontId="9" fillId="6" borderId="0" xfId="0" applyFont="1" applyFill="1" applyBorder="1" applyAlignment="1">
      <alignment horizontal="center"/>
    </xf>
    <xf numFmtId="0" fontId="2" fillId="6" borderId="0" xfId="0" applyFont="1" applyFill="1" applyBorder="1" applyAlignment="1">
      <alignment wrapText="1"/>
    </xf>
    <xf numFmtId="0" fontId="2" fillId="6" borderId="23" xfId="0" applyFont="1" applyFill="1" applyBorder="1" applyAlignment="1">
      <alignment horizontal="center" vertical="top" wrapText="1"/>
    </xf>
    <xf numFmtId="0" fontId="3" fillId="6" borderId="24" xfId="0" applyFont="1" applyFill="1" applyBorder="1" applyAlignment="1">
      <alignment horizontal="center"/>
    </xf>
    <xf numFmtId="0" fontId="2" fillId="6" borderId="25" xfId="0" applyFont="1" applyFill="1" applyBorder="1" applyAlignment="1">
      <alignment horizontal="center"/>
    </xf>
    <xf numFmtId="0" fontId="7" fillId="6" borderId="25" xfId="0" applyFont="1" applyFill="1" applyBorder="1" applyAlignment="1">
      <alignment horizontal="center"/>
    </xf>
    <xf numFmtId="0" fontId="2" fillId="6" borderId="26" xfId="0" applyFont="1" applyFill="1" applyBorder="1"/>
    <xf numFmtId="0" fontId="10" fillId="6" borderId="24" xfId="0" applyFont="1" applyFill="1" applyBorder="1" applyAlignment="1">
      <alignment horizontal="center" vertical="center"/>
    </xf>
    <xf numFmtId="0" fontId="2" fillId="0" borderId="0" xfId="0" applyFont="1"/>
    <xf numFmtId="0" fontId="2" fillId="0" borderId="0" xfId="0" applyFont="1" applyBorder="1"/>
    <xf numFmtId="0" fontId="2" fillId="0" borderId="0" xfId="0" applyFont="1" applyFill="1" applyBorder="1"/>
    <xf numFmtId="0" fontId="14" fillId="0" borderId="4" xfId="0" applyFont="1" applyBorder="1" applyAlignment="1">
      <alignment wrapText="1"/>
    </xf>
    <xf numFmtId="0" fontId="14" fillId="0" borderId="0" xfId="0" applyFont="1" applyBorder="1"/>
    <xf numFmtId="0" fontId="14" fillId="0" borderId="4" xfId="0" applyFont="1" applyFill="1" applyBorder="1" applyAlignment="1">
      <alignment wrapText="1"/>
    </xf>
    <xf numFmtId="0" fontId="14" fillId="0" borderId="0" xfId="0" applyFont="1" applyFill="1" applyBorder="1"/>
    <xf numFmtId="0" fontId="14" fillId="0" borderId="4" xfId="0" applyFont="1" applyBorder="1"/>
    <xf numFmtId="164" fontId="14" fillId="0" borderId="16" xfId="0" applyNumberFormat="1" applyFont="1" applyFill="1" applyBorder="1"/>
    <xf numFmtId="0" fontId="14" fillId="0" borderId="19" xfId="0" applyFont="1" applyFill="1" applyBorder="1" applyAlignment="1">
      <alignment wrapText="1"/>
    </xf>
    <xf numFmtId="0" fontId="14" fillId="0" borderId="15" xfId="0" applyFont="1" applyBorder="1"/>
    <xf numFmtId="0" fontId="14" fillId="6" borderId="0" xfId="0" applyFont="1" applyFill="1" applyBorder="1"/>
    <xf numFmtId="0" fontId="2" fillId="0" borderId="0" xfId="0" applyFont="1" applyAlignment="1">
      <alignment vertical="center"/>
    </xf>
    <xf numFmtId="0" fontId="2" fillId="6" borderId="0" xfId="0" applyFont="1" applyFill="1" applyBorder="1" applyAlignment="1">
      <alignment vertical="center"/>
    </xf>
    <xf numFmtId="0" fontId="2" fillId="6" borderId="5" xfId="0" applyFont="1" applyFill="1" applyBorder="1" applyAlignment="1">
      <alignment vertical="center"/>
    </xf>
    <xf numFmtId="0" fontId="2" fillId="6" borderId="4" xfId="0" applyFont="1" applyFill="1" applyBorder="1" applyAlignment="1">
      <alignment wrapText="1"/>
    </xf>
    <xf numFmtId="1" fontId="2" fillId="6" borderId="0" xfId="0" applyNumberFormat="1" applyFont="1" applyFill="1" applyBorder="1"/>
    <xf numFmtId="0" fontId="2" fillId="6" borderId="5" xfId="0" applyFont="1" applyFill="1" applyBorder="1"/>
    <xf numFmtId="0" fontId="12" fillId="6" borderId="0" xfId="0" applyFont="1" applyFill="1" applyBorder="1"/>
    <xf numFmtId="9" fontId="2" fillId="6" borderId="0" xfId="0" applyNumberFormat="1" applyFont="1" applyFill="1" applyBorder="1"/>
    <xf numFmtId="0" fontId="2" fillId="6" borderId="4" xfId="0" applyFont="1" applyFill="1" applyBorder="1" applyAlignment="1">
      <alignment vertical="center"/>
    </xf>
    <xf numFmtId="13" fontId="2" fillId="6" borderId="0" xfId="0" applyNumberFormat="1" applyFont="1" applyFill="1" applyBorder="1"/>
    <xf numFmtId="49" fontId="22" fillId="2" borderId="11" xfId="0" applyNumberFormat="1" applyFont="1" applyFill="1" applyBorder="1" applyAlignment="1">
      <alignment horizontal="center" vertical="center" wrapText="1"/>
    </xf>
    <xf numFmtId="49" fontId="22" fillId="7" borderId="4" xfId="0" applyNumberFormat="1" applyFont="1" applyFill="1" applyBorder="1" applyAlignment="1">
      <alignment horizontal="center" vertical="center"/>
    </xf>
    <xf numFmtId="49" fontId="22" fillId="7" borderId="0" xfId="0" applyNumberFormat="1" applyFont="1" applyFill="1" applyBorder="1" applyAlignment="1">
      <alignment horizontal="center" vertical="center"/>
    </xf>
    <xf numFmtId="49" fontId="22" fillId="7" borderId="5" xfId="0" applyNumberFormat="1" applyFont="1" applyFill="1" applyBorder="1" applyAlignment="1">
      <alignment horizontal="center" vertical="center"/>
    </xf>
    <xf numFmtId="49" fontId="22" fillId="2" borderId="4" xfId="0" applyNumberFormat="1" applyFont="1" applyFill="1" applyBorder="1" applyAlignment="1">
      <alignment horizontal="center" vertical="center"/>
    </xf>
    <xf numFmtId="49" fontId="22" fillId="2" borderId="0" xfId="0" applyNumberFormat="1" applyFont="1" applyFill="1" applyBorder="1" applyAlignment="1">
      <alignment horizontal="center" vertical="center"/>
    </xf>
    <xf numFmtId="49" fontId="22" fillId="2" borderId="5" xfId="0" applyNumberFormat="1" applyFont="1" applyFill="1" applyBorder="1" applyAlignment="1">
      <alignment horizontal="center" vertical="center"/>
    </xf>
    <xf numFmtId="0" fontId="14" fillId="3" borderId="21" xfId="0" applyFont="1" applyFill="1" applyBorder="1"/>
    <xf numFmtId="0" fontId="14" fillId="4" borderId="21" xfId="0" applyFont="1" applyFill="1" applyBorder="1"/>
    <xf numFmtId="0" fontId="14" fillId="6" borderId="4" xfId="0" applyFont="1" applyFill="1" applyBorder="1" applyAlignment="1">
      <alignment wrapText="1"/>
    </xf>
    <xf numFmtId="164" fontId="14" fillId="6" borderId="0" xfId="0" applyNumberFormat="1" applyFont="1" applyFill="1" applyBorder="1"/>
    <xf numFmtId="0" fontId="14" fillId="6" borderId="5" xfId="0" applyFont="1" applyFill="1" applyBorder="1"/>
    <xf numFmtId="2" fontId="15" fillId="0" borderId="0" xfId="0" applyNumberFormat="1" applyFont="1" applyBorder="1"/>
    <xf numFmtId="164" fontId="14" fillId="0" borderId="0" xfId="0" applyNumberFormat="1" applyFont="1" applyBorder="1"/>
    <xf numFmtId="0" fontId="14" fillId="0" borderId="15" xfId="0" applyFont="1" applyFill="1" applyBorder="1"/>
    <xf numFmtId="164" fontId="14" fillId="0" borderId="15" xfId="0" applyNumberFormat="1" applyFont="1" applyBorder="1" applyAlignment="1">
      <alignment vertical="center"/>
    </xf>
    <xf numFmtId="0" fontId="14" fillId="0" borderId="15" xfId="0" applyFont="1" applyBorder="1" applyAlignment="1">
      <alignment vertical="center"/>
    </xf>
    <xf numFmtId="13" fontId="14" fillId="0" borderId="0" xfId="0" applyNumberFormat="1" applyFont="1" applyBorder="1"/>
    <xf numFmtId="164" fontId="14" fillId="0" borderId="0" xfId="0" applyNumberFormat="1" applyFont="1" applyFill="1" applyBorder="1"/>
    <xf numFmtId="0" fontId="24" fillId="0" borderId="11" xfId="0" applyFont="1" applyFill="1" applyBorder="1" applyAlignment="1">
      <alignment horizontal="center" wrapText="1"/>
    </xf>
    <xf numFmtId="0" fontId="24" fillId="0" borderId="4" xfId="0" applyFont="1" applyBorder="1" applyAlignment="1">
      <alignment horizontal="left" wrapText="1"/>
    </xf>
    <xf numFmtId="0" fontId="24" fillId="0" borderId="0" xfId="0" applyFont="1" applyBorder="1" applyAlignment="1">
      <alignment horizontal="left" wrapText="1"/>
    </xf>
    <xf numFmtId="0" fontId="24" fillId="0" borderId="5" xfId="0" applyFont="1" applyBorder="1" applyAlignment="1">
      <alignment horizontal="left" wrapText="1"/>
    </xf>
    <xf numFmtId="0" fontId="24" fillId="0" borderId="5" xfId="0" applyFont="1" applyFill="1" applyBorder="1" applyAlignment="1">
      <alignment horizontal="left" wrapText="1"/>
    </xf>
    <xf numFmtId="0" fontId="24" fillId="0" borderId="0" xfId="0" applyFont="1" applyFill="1" applyBorder="1" applyAlignment="1">
      <alignment horizontal="left" wrapText="1"/>
    </xf>
    <xf numFmtId="0" fontId="24" fillId="0" borderId="4" xfId="0" applyFont="1" applyFill="1" applyBorder="1" applyAlignment="1">
      <alignment horizontal="left" wrapText="1"/>
    </xf>
    <xf numFmtId="0" fontId="24" fillId="0" borderId="5" xfId="0" applyNumberFormat="1" applyFont="1" applyFill="1" applyBorder="1" applyAlignment="1">
      <alignment horizontal="left" wrapText="1"/>
    </xf>
    <xf numFmtId="0" fontId="24" fillId="0" borderId="11" xfId="0" applyFont="1" applyBorder="1" applyAlignment="1">
      <alignment horizontal="center" wrapText="1"/>
    </xf>
    <xf numFmtId="0" fontId="24" fillId="0" borderId="4" xfId="0" applyFont="1" applyBorder="1" applyAlignment="1">
      <alignment horizontal="center" wrapText="1"/>
    </xf>
    <xf numFmtId="0" fontId="24" fillId="0" borderId="0" xfId="0" applyFont="1" applyBorder="1" applyAlignment="1">
      <alignment horizontal="center" wrapText="1"/>
    </xf>
    <xf numFmtId="0" fontId="24" fillId="0" borderId="5" xfId="0" applyFont="1" applyBorder="1" applyAlignment="1">
      <alignment horizontal="center" wrapText="1"/>
    </xf>
    <xf numFmtId="0" fontId="14" fillId="0" borderId="5" xfId="0" applyFont="1" applyBorder="1" applyAlignment="1">
      <alignment horizontal="center"/>
    </xf>
    <xf numFmtId="164" fontId="14" fillId="0" borderId="11" xfId="0" applyNumberFormat="1" applyFont="1" applyBorder="1" applyAlignment="1">
      <alignment horizontal="center"/>
    </xf>
    <xf numFmtId="165" fontId="14" fillId="0" borderId="4" xfId="0" applyNumberFormat="1" applyFont="1" applyBorder="1"/>
    <xf numFmtId="165" fontId="14" fillId="0" borderId="0" xfId="0" applyNumberFormat="1" applyFont="1" applyBorder="1"/>
    <xf numFmtId="164" fontId="14" fillId="0" borderId="5" xfId="0" applyNumberFormat="1" applyFont="1" applyBorder="1"/>
    <xf numFmtId="2" fontId="14" fillId="0" borderId="4" xfId="0" applyNumberFormat="1" applyFont="1" applyBorder="1"/>
    <xf numFmtId="2" fontId="14" fillId="0" borderId="0" xfId="0" applyNumberFormat="1" applyFont="1" applyBorder="1"/>
    <xf numFmtId="2" fontId="14" fillId="0" borderId="5" xfId="0" applyNumberFormat="1" applyFont="1" applyBorder="1"/>
    <xf numFmtId="164" fontId="14" fillId="0" borderId="4" xfId="0" applyNumberFormat="1" applyFont="1" applyBorder="1"/>
    <xf numFmtId="8" fontId="14" fillId="0" borderId="0" xfId="0" applyNumberFormat="1" applyFont="1" applyBorder="1"/>
    <xf numFmtId="0" fontId="14" fillId="0" borderId="5" xfId="0" applyNumberFormat="1" applyFont="1" applyBorder="1"/>
    <xf numFmtId="164" fontId="14" fillId="0" borderId="12" xfId="0" applyNumberFormat="1" applyFont="1" applyBorder="1" applyAlignment="1">
      <alignment horizontal="center"/>
    </xf>
    <xf numFmtId="165" fontId="14" fillId="0" borderId="6" xfId="0" applyNumberFormat="1" applyFont="1" applyBorder="1"/>
    <xf numFmtId="165" fontId="14" fillId="0" borderId="1" xfId="0" applyNumberFormat="1" applyFont="1" applyBorder="1"/>
    <xf numFmtId="164" fontId="14" fillId="0" borderId="1" xfId="0" applyNumberFormat="1" applyFont="1" applyBorder="1"/>
    <xf numFmtId="164" fontId="14" fillId="0" borderId="7" xfId="0" applyNumberFormat="1" applyFont="1" applyBorder="1"/>
    <xf numFmtId="2" fontId="14" fillId="0" borderId="1" xfId="0" applyNumberFormat="1" applyFont="1" applyBorder="1"/>
    <xf numFmtId="2" fontId="14" fillId="0" borderId="7" xfId="0" applyNumberFormat="1" applyFont="1" applyBorder="1"/>
    <xf numFmtId="164" fontId="14" fillId="0" borderId="6" xfId="0" applyNumberFormat="1" applyFont="1" applyBorder="1"/>
    <xf numFmtId="164" fontId="14" fillId="0" borderId="13" xfId="0" applyNumberFormat="1" applyFont="1" applyBorder="1" applyAlignment="1">
      <alignment horizontal="center"/>
    </xf>
    <xf numFmtId="165" fontId="14" fillId="0" borderId="8" xfId="0" applyNumberFormat="1" applyFont="1" applyBorder="1"/>
    <xf numFmtId="165" fontId="14" fillId="0" borderId="9" xfId="0" applyNumberFormat="1" applyFont="1" applyBorder="1"/>
    <xf numFmtId="164" fontId="14" fillId="0" borderId="9" xfId="0" applyNumberFormat="1" applyFont="1" applyBorder="1"/>
    <xf numFmtId="164" fontId="14" fillId="0" borderId="10" xfId="0" applyNumberFormat="1" applyFont="1" applyBorder="1"/>
    <xf numFmtId="2" fontId="14" fillId="0" borderId="9" xfId="0" applyNumberFormat="1" applyFont="1" applyBorder="1"/>
    <xf numFmtId="2" fontId="14" fillId="0" borderId="10" xfId="0" applyNumberFormat="1" applyFont="1" applyBorder="1"/>
    <xf numFmtId="164" fontId="14" fillId="0" borderId="8" xfId="0" applyNumberFormat="1" applyFont="1" applyBorder="1"/>
    <xf numFmtId="10" fontId="2" fillId="0" borderId="0" xfId="0" applyNumberFormat="1" applyFont="1" applyAlignment="1">
      <alignment vertical="center"/>
    </xf>
    <xf numFmtId="0" fontId="14" fillId="0" borderId="0" xfId="0" applyFont="1" applyFill="1" applyBorder="1" applyAlignment="1">
      <alignment horizontal="left" wrapText="1"/>
    </xf>
    <xf numFmtId="0" fontId="14" fillId="0" borderId="5" xfId="0" applyFont="1" applyFill="1" applyBorder="1" applyAlignment="1">
      <alignment vertical="center" wrapText="1"/>
    </xf>
    <xf numFmtId="1" fontId="6" fillId="3" borderId="18" xfId="0" applyNumberFormat="1" applyFont="1" applyFill="1" applyBorder="1" applyAlignment="1">
      <alignment horizontal="center" vertical="center" wrapText="1"/>
    </xf>
    <xf numFmtId="0" fontId="28" fillId="0" borderId="18" xfId="0" applyFont="1" applyBorder="1" applyAlignment="1">
      <alignment horizontal="center" vertical="center" wrapText="1"/>
    </xf>
    <xf numFmtId="0" fontId="24" fillId="2" borderId="29" xfId="0" applyFont="1" applyFill="1" applyBorder="1" applyAlignment="1">
      <alignment horizontal="left" wrapText="1"/>
    </xf>
    <xf numFmtId="0" fontId="24" fillId="2" borderId="30" xfId="0" applyFont="1" applyFill="1" applyBorder="1" applyAlignment="1">
      <alignment horizontal="left" vertical="center"/>
    </xf>
    <xf numFmtId="0" fontId="24" fillId="2" borderId="31" xfId="0" applyFont="1" applyFill="1" applyBorder="1" applyAlignment="1">
      <alignment horizontal="left" wrapText="1"/>
    </xf>
    <xf numFmtId="0" fontId="24" fillId="2" borderId="32" xfId="0" applyFont="1" applyFill="1" applyBorder="1" applyAlignment="1">
      <alignment horizontal="left" wrapText="1"/>
    </xf>
    <xf numFmtId="0" fontId="24" fillId="0" borderId="28" xfId="0" applyNumberFormat="1" applyFont="1" applyFill="1" applyBorder="1" applyAlignment="1">
      <alignment horizontal="left" wrapText="1"/>
    </xf>
    <xf numFmtId="164" fontId="14" fillId="0" borderId="28" xfId="0" applyNumberFormat="1" applyFont="1" applyBorder="1" applyAlignment="1">
      <alignment horizontal="center"/>
    </xf>
    <xf numFmtId="0" fontId="4" fillId="0" borderId="39" xfId="0" applyFont="1" applyBorder="1" applyAlignment="1">
      <alignment horizontal="center" vertical="center"/>
    </xf>
    <xf numFmtId="0" fontId="11" fillId="6" borderId="0" xfId="0" applyFont="1" applyFill="1" applyAlignment="1">
      <alignment horizontal="center" vertical="center"/>
    </xf>
    <xf numFmtId="0" fontId="1" fillId="6" borderId="0" xfId="0" applyFont="1" applyFill="1" applyAlignment="1">
      <alignment horizontal="center" vertical="center"/>
    </xf>
    <xf numFmtId="0" fontId="2" fillId="6" borderId="0" xfId="0" applyFont="1" applyFill="1"/>
    <xf numFmtId="0" fontId="14" fillId="2" borderId="40" xfId="0" applyFont="1" applyFill="1" applyBorder="1" applyAlignment="1">
      <alignment vertical="center" wrapText="1"/>
    </xf>
    <xf numFmtId="0" fontId="14" fillId="2" borderId="41" xfId="0" applyFont="1" applyFill="1" applyBorder="1" applyAlignment="1">
      <alignment vertical="center"/>
    </xf>
    <xf numFmtId="0" fontId="14" fillId="2" borderId="42" xfId="0" applyFont="1" applyFill="1" applyBorder="1" applyAlignment="1">
      <alignment vertical="center"/>
    </xf>
    <xf numFmtId="0" fontId="14" fillId="2" borderId="43" xfId="0" applyFont="1" applyFill="1" applyBorder="1" applyAlignment="1">
      <alignment vertical="center"/>
    </xf>
    <xf numFmtId="0" fontId="14" fillId="6" borderId="44" xfId="0" applyFont="1" applyFill="1" applyBorder="1" applyAlignment="1">
      <alignment vertical="center" wrapText="1"/>
    </xf>
    <xf numFmtId="0" fontId="14" fillId="6" borderId="45" xfId="0" applyFont="1" applyFill="1" applyBorder="1"/>
    <xf numFmtId="0" fontId="14" fillId="6" borderId="0" xfId="0" applyFont="1" applyFill="1"/>
    <xf numFmtId="0" fontId="14" fillId="6" borderId="46" xfId="0" applyFont="1" applyFill="1" applyBorder="1"/>
    <xf numFmtId="0" fontId="14" fillId="6" borderId="44" xfId="0" applyFont="1" applyFill="1" applyBorder="1" applyAlignment="1">
      <alignment vertical="center"/>
    </xf>
    <xf numFmtId="0" fontId="11" fillId="2" borderId="40" xfId="0" applyFont="1" applyFill="1" applyBorder="1" applyAlignment="1">
      <alignment vertical="center"/>
    </xf>
    <xf numFmtId="0" fontId="14" fillId="0" borderId="0" xfId="0" applyFont="1" applyBorder="1" applyAlignment="1">
      <alignment vertical="center" wrapText="1"/>
    </xf>
    <xf numFmtId="0" fontId="14" fillId="0" borderId="53" xfId="0" applyFont="1" applyBorder="1"/>
    <xf numFmtId="167" fontId="0" fillId="0" borderId="0" xfId="0" applyNumberFormat="1" applyBorder="1" applyAlignment="1">
      <alignment horizontal="center" vertical="center"/>
    </xf>
    <xf numFmtId="0" fontId="14" fillId="0" borderId="51" xfId="0" applyFont="1" applyBorder="1"/>
    <xf numFmtId="0" fontId="2" fillId="0" borderId="54" xfId="0" applyFont="1" applyBorder="1"/>
    <xf numFmtId="0" fontId="0" fillId="0" borderId="0" xfId="0" applyBorder="1" applyAlignment="1">
      <alignment horizontal="center" vertical="center"/>
    </xf>
    <xf numFmtId="0" fontId="32" fillId="0" borderId="0" xfId="0" applyFont="1" applyBorder="1" applyAlignment="1">
      <alignment horizontal="center" vertical="center"/>
    </xf>
    <xf numFmtId="167" fontId="0" fillId="0" borderId="61" xfId="0" applyNumberFormat="1" applyBorder="1" applyAlignment="1">
      <alignment horizontal="center" vertical="center"/>
    </xf>
    <xf numFmtId="0" fontId="14" fillId="0" borderId="60" xfId="0" applyFont="1" applyBorder="1" applyAlignment="1">
      <alignment vertical="center" wrapText="1"/>
    </xf>
    <xf numFmtId="0" fontId="14" fillId="0" borderId="0" xfId="0" applyFont="1" applyBorder="1" applyAlignment="1">
      <alignment vertical="center"/>
    </xf>
    <xf numFmtId="0" fontId="22" fillId="0" borderId="0" xfId="0" applyFont="1" applyBorder="1" applyAlignment="1">
      <alignment vertical="center" textRotation="90" wrapText="1"/>
    </xf>
    <xf numFmtId="10" fontId="2" fillId="0" borderId="0" xfId="0" applyNumberFormat="1" applyFont="1" applyBorder="1" applyAlignment="1">
      <alignment vertical="center"/>
    </xf>
    <xf numFmtId="8" fontId="14" fillId="0" borderId="60" xfId="0" applyNumberFormat="1" applyFont="1" applyBorder="1"/>
    <xf numFmtId="6" fontId="14" fillId="0" borderId="0" xfId="0" applyNumberFormat="1" applyFont="1" applyBorder="1"/>
    <xf numFmtId="6" fontId="14" fillId="0" borderId="0" xfId="0" applyNumberFormat="1" applyFont="1" applyBorder="1" applyAlignment="1">
      <alignment vertical="center"/>
    </xf>
    <xf numFmtId="0" fontId="14" fillId="0" borderId="60" xfId="0" applyFont="1" applyBorder="1"/>
    <xf numFmtId="0" fontId="14" fillId="0" borderId="60" xfId="0" applyFont="1" applyBorder="1" applyAlignment="1">
      <alignment vertical="center"/>
    </xf>
    <xf numFmtId="0" fontId="14" fillId="0" borderId="0" xfId="0" applyFont="1" applyBorder="1" applyAlignment="1">
      <alignment vertical="center" textRotation="90"/>
    </xf>
    <xf numFmtId="0" fontId="22" fillId="0" borderId="63" xfId="0" applyFont="1" applyBorder="1" applyAlignment="1">
      <alignment vertical="center" textRotation="90" wrapText="1"/>
    </xf>
    <xf numFmtId="0" fontId="2" fillId="0" borderId="63" xfId="0" applyFont="1" applyBorder="1"/>
    <xf numFmtId="10" fontId="2" fillId="0" borderId="63" xfId="0" applyNumberFormat="1" applyFont="1" applyBorder="1" applyAlignment="1">
      <alignment vertical="center"/>
    </xf>
    <xf numFmtId="0" fontId="24" fillId="0" borderId="57" xfId="0" applyFont="1" applyBorder="1" applyAlignment="1">
      <alignment vertical="center" readingOrder="1"/>
    </xf>
    <xf numFmtId="0" fontId="2" fillId="0" borderId="58" xfId="0" applyFont="1" applyBorder="1"/>
    <xf numFmtId="8" fontId="2" fillId="0" borderId="58" xfId="0" applyNumberFormat="1" applyFont="1" applyBorder="1"/>
    <xf numFmtId="0" fontId="22" fillId="0" borderId="58" xfId="0" applyFont="1" applyBorder="1" applyAlignment="1">
      <alignment vertical="center" textRotation="90"/>
    </xf>
    <xf numFmtId="0" fontId="22" fillId="0" borderId="58" xfId="0" applyFont="1" applyBorder="1" applyAlignment="1">
      <alignment vertical="center" textRotation="90" wrapText="1"/>
    </xf>
    <xf numFmtId="10" fontId="2" fillId="0" borderId="58" xfId="0" applyNumberFormat="1" applyFont="1" applyBorder="1" applyAlignment="1">
      <alignment vertical="center"/>
    </xf>
    <xf numFmtId="0" fontId="2" fillId="0" borderId="59" xfId="0" applyFont="1" applyBorder="1"/>
    <xf numFmtId="0" fontId="2" fillId="0" borderId="61" xfId="0" applyFont="1" applyBorder="1"/>
    <xf numFmtId="0" fontId="15" fillId="0" borderId="5" xfId="0" applyFont="1" applyBorder="1" applyAlignment="1">
      <alignment vertical="center" wrapText="1"/>
    </xf>
    <xf numFmtId="0" fontId="24" fillId="0" borderId="33" xfId="0" applyFont="1" applyBorder="1" applyAlignment="1">
      <alignment horizontal="center" wrapText="1"/>
    </xf>
    <xf numFmtId="164" fontId="14" fillId="0" borderId="28" xfId="0" applyNumberFormat="1" applyFont="1" applyBorder="1" applyAlignment="1">
      <alignment horizontal="center" vertical="center"/>
    </xf>
    <xf numFmtId="0" fontId="2" fillId="0" borderId="69" xfId="0" applyFont="1" applyFill="1" applyBorder="1"/>
    <xf numFmtId="0" fontId="14" fillId="0" borderId="71" xfId="0" applyFont="1" applyBorder="1"/>
    <xf numFmtId="1" fontId="27" fillId="3" borderId="33" xfId="0" applyNumberFormat="1" applyFont="1" applyFill="1" applyBorder="1" applyAlignment="1">
      <alignment horizontal="right" wrapText="1"/>
    </xf>
    <xf numFmtId="1" fontId="14" fillId="0" borderId="33" xfId="0" applyNumberFormat="1" applyFont="1" applyBorder="1" applyAlignment="1">
      <alignment horizontal="right" wrapText="1"/>
    </xf>
    <xf numFmtId="0" fontId="14" fillId="6" borderId="0" xfId="0" applyFont="1" applyFill="1" applyAlignment="1">
      <alignment vertical="center"/>
    </xf>
    <xf numFmtId="0" fontId="14" fillId="6" borderId="46" xfId="0" applyFont="1" applyFill="1" applyBorder="1" applyAlignment="1">
      <alignment vertical="center"/>
    </xf>
    <xf numFmtId="0" fontId="14" fillId="6" borderId="47" xfId="0" applyFont="1" applyFill="1" applyBorder="1" applyAlignment="1">
      <alignment vertical="center"/>
    </xf>
    <xf numFmtId="0" fontId="1" fillId="6" borderId="38" xfId="0" applyFont="1" applyFill="1" applyBorder="1" applyAlignment="1">
      <alignment vertical="center"/>
    </xf>
    <xf numFmtId="0" fontId="1" fillId="6" borderId="0" xfId="0" applyFont="1" applyFill="1" applyAlignment="1">
      <alignment vertical="center"/>
    </xf>
    <xf numFmtId="0" fontId="2" fillId="6" borderId="0" xfId="0" applyNumberFormat="1" applyFont="1" applyFill="1" applyBorder="1"/>
    <xf numFmtId="0" fontId="2" fillId="6" borderId="0" xfId="0" applyFont="1" applyFill="1" applyAlignment="1">
      <alignment vertical="center"/>
    </xf>
    <xf numFmtId="0" fontId="3" fillId="6" borderId="0" xfId="0" applyFont="1" applyFill="1" applyBorder="1" applyAlignment="1">
      <alignment horizontal="left" vertical="center" wrapText="1"/>
    </xf>
    <xf numFmtId="0" fontId="3" fillId="6" borderId="0" xfId="0" applyFont="1" applyFill="1" applyAlignment="1">
      <alignment vertical="center"/>
    </xf>
    <xf numFmtId="0" fontId="3" fillId="6" borderId="0" xfId="0" applyFont="1" applyFill="1" applyBorder="1" applyAlignment="1">
      <alignment horizontal="left" wrapText="1"/>
    </xf>
    <xf numFmtId="0" fontId="3" fillId="6" borderId="0" xfId="0" applyFont="1" applyFill="1"/>
    <xf numFmtId="165" fontId="2" fillId="6" borderId="0" xfId="0" applyNumberFormat="1" applyFont="1" applyFill="1"/>
    <xf numFmtId="165" fontId="2" fillId="6" borderId="0" xfId="0" applyNumberFormat="1" applyFont="1" applyFill="1" applyAlignment="1">
      <alignment vertical="center"/>
    </xf>
    <xf numFmtId="0" fontId="3" fillId="6" borderId="0" xfId="0" applyFont="1" applyFill="1" applyBorder="1" applyAlignment="1"/>
    <xf numFmtId="49" fontId="22" fillId="6" borderId="0" xfId="0" applyNumberFormat="1" applyFont="1" applyFill="1" applyBorder="1" applyAlignment="1">
      <alignment horizontal="center" vertical="center"/>
    </xf>
    <xf numFmtId="0" fontId="3" fillId="6" borderId="0" xfId="0" applyNumberFormat="1" applyFont="1" applyFill="1" applyBorder="1" applyAlignment="1">
      <alignment horizontal="left" wrapText="1"/>
    </xf>
    <xf numFmtId="0" fontId="2" fillId="6" borderId="0" xfId="0" applyFont="1" applyFill="1" applyBorder="1" applyAlignment="1">
      <alignment horizontal="center"/>
    </xf>
    <xf numFmtId="164" fontId="2" fillId="6" borderId="0" xfId="0" applyNumberFormat="1" applyFont="1" applyFill="1" applyBorder="1" applyAlignment="1">
      <alignment horizontal="center"/>
    </xf>
    <xf numFmtId="0" fontId="3" fillId="6" borderId="0" xfId="0" applyFont="1" applyFill="1" applyBorder="1" applyAlignment="1">
      <alignment horizontal="center" wrapText="1"/>
    </xf>
    <xf numFmtId="164" fontId="3" fillId="6" borderId="0" xfId="0" applyNumberFormat="1" applyFont="1" applyFill="1" applyBorder="1" applyAlignment="1">
      <alignment horizontal="center" wrapText="1"/>
    </xf>
    <xf numFmtId="0" fontId="3" fillId="6" borderId="0" xfId="0" applyFont="1" applyFill="1" applyAlignment="1">
      <alignment horizontal="center"/>
    </xf>
    <xf numFmtId="0" fontId="2" fillId="6" borderId="0" xfId="0" applyFont="1" applyFill="1" applyAlignment="1">
      <alignment horizontal="center"/>
    </xf>
    <xf numFmtId="164" fontId="2" fillId="6" borderId="0" xfId="0" applyNumberFormat="1" applyFont="1" applyFill="1" applyBorder="1"/>
    <xf numFmtId="0" fontId="2" fillId="6" borderId="0" xfId="0" applyFont="1" applyFill="1" applyBorder="1" applyAlignment="1">
      <alignment horizontal="right" wrapText="1"/>
    </xf>
    <xf numFmtId="164" fontId="2" fillId="6" borderId="0" xfId="0" applyNumberFormat="1" applyFont="1" applyFill="1" applyBorder="1" applyAlignment="1">
      <alignment horizontal="right" wrapText="1"/>
    </xf>
    <xf numFmtId="164" fontId="2" fillId="6" borderId="0" xfId="0" applyNumberFormat="1" applyFont="1" applyFill="1"/>
    <xf numFmtId="165" fontId="2" fillId="6" borderId="0" xfId="0" applyNumberFormat="1" applyFont="1" applyFill="1" applyBorder="1"/>
    <xf numFmtId="2" fontId="2" fillId="6" borderId="0" xfId="0" applyNumberFormat="1" applyFont="1" applyFill="1" applyBorder="1"/>
    <xf numFmtId="0" fontId="21" fillId="6" borderId="0" xfId="0" applyFont="1" applyFill="1" applyBorder="1" applyAlignment="1">
      <alignment vertical="center"/>
    </xf>
    <xf numFmtId="49" fontId="22" fillId="6" borderId="0" xfId="0" applyNumberFormat="1" applyFont="1" applyFill="1" applyBorder="1" applyAlignment="1">
      <alignment horizontal="center" vertical="center" wrapText="1"/>
    </xf>
    <xf numFmtId="44" fontId="2" fillId="6" borderId="0" xfId="2" applyFont="1" applyFill="1" applyBorder="1"/>
    <xf numFmtId="0" fontId="10" fillId="6" borderId="0" xfId="0" applyFont="1" applyFill="1" applyBorder="1"/>
    <xf numFmtId="0" fontId="14" fillId="6" borderId="15" xfId="0" applyFont="1" applyFill="1" applyBorder="1"/>
    <xf numFmtId="0" fontId="14" fillId="6" borderId="9" xfId="0" applyFont="1" applyFill="1" applyBorder="1"/>
    <xf numFmtId="0" fontId="17" fillId="6" borderId="8" xfId="0" applyFont="1" applyFill="1" applyBorder="1" applyAlignment="1"/>
    <xf numFmtId="1" fontId="14" fillId="6" borderId="9" xfId="0" applyNumberFormat="1" applyFont="1" applyFill="1" applyBorder="1"/>
    <xf numFmtId="0" fontId="14" fillId="6" borderId="73" xfId="0" applyFont="1" applyFill="1" applyBorder="1"/>
    <xf numFmtId="0" fontId="2" fillId="6" borderId="73" xfId="0" applyFont="1" applyFill="1" applyBorder="1"/>
    <xf numFmtId="0" fontId="2" fillId="6" borderId="74" xfId="0" applyFont="1" applyFill="1" applyBorder="1"/>
    <xf numFmtId="9" fontId="2" fillId="6" borderId="73" xfId="0" applyNumberFormat="1" applyFont="1" applyFill="1" applyBorder="1"/>
    <xf numFmtId="0" fontId="14" fillId="6" borderId="74" xfId="0" applyFont="1" applyFill="1" applyBorder="1"/>
    <xf numFmtId="0" fontId="14" fillId="6" borderId="75" xfId="0" applyFont="1" applyFill="1" applyBorder="1" applyAlignment="1"/>
    <xf numFmtId="0" fontId="14" fillId="6" borderId="75" xfId="0" applyFont="1" applyFill="1" applyBorder="1"/>
    <xf numFmtId="166" fontId="14" fillId="6" borderId="75" xfId="0" applyNumberFormat="1" applyFont="1" applyFill="1" applyBorder="1"/>
    <xf numFmtId="0" fontId="14" fillId="6" borderId="75" xfId="0" applyFont="1" applyFill="1" applyBorder="1" applyAlignment="1">
      <alignment vertical="center"/>
    </xf>
    <xf numFmtId="0" fontId="14" fillId="6" borderId="76" xfId="0" applyFont="1" applyFill="1" applyBorder="1"/>
    <xf numFmtId="0" fontId="2" fillId="6" borderId="77" xfId="0" applyFont="1" applyFill="1" applyBorder="1"/>
    <xf numFmtId="0" fontId="2" fillId="6" borderId="78" xfId="0" applyFont="1" applyFill="1" applyBorder="1"/>
    <xf numFmtId="0" fontId="14" fillId="0" borderId="79" xfId="0" applyFont="1" applyBorder="1" applyAlignment="1">
      <alignment wrapText="1"/>
    </xf>
    <xf numFmtId="1" fontId="14" fillId="0" borderId="15" xfId="0" applyNumberFormat="1" applyFont="1" applyFill="1" applyBorder="1"/>
    <xf numFmtId="0" fontId="14" fillId="0" borderId="79" xfId="0" applyFont="1" applyFill="1" applyBorder="1" applyAlignment="1">
      <alignment wrapText="1"/>
    </xf>
    <xf numFmtId="1" fontId="14" fillId="0" borderId="15" xfId="0" applyNumberFormat="1" applyFont="1" applyBorder="1"/>
    <xf numFmtId="0" fontId="14" fillId="6" borderId="20" xfId="0" applyFont="1" applyFill="1" applyBorder="1"/>
    <xf numFmtId="0" fontId="14" fillId="6" borderId="79" xfId="0" applyFont="1" applyFill="1" applyBorder="1"/>
    <xf numFmtId="0" fontId="3" fillId="6" borderId="15" xfId="0" applyFont="1" applyFill="1" applyBorder="1" applyAlignment="1">
      <alignment horizontal="left" vertical="center"/>
    </xf>
    <xf numFmtId="0" fontId="3" fillId="6" borderId="20" xfId="0" applyFont="1" applyFill="1" applyBorder="1" applyAlignment="1">
      <alignment horizontal="left" vertical="center"/>
    </xf>
    <xf numFmtId="0" fontId="14" fillId="6" borderId="79" xfId="0" applyFont="1" applyFill="1" applyBorder="1" applyAlignment="1"/>
    <xf numFmtId="0" fontId="2" fillId="6" borderId="15" xfId="0" applyFont="1" applyFill="1" applyBorder="1" applyAlignment="1">
      <alignment wrapText="1"/>
    </xf>
    <xf numFmtId="0" fontId="2" fillId="6" borderId="20" xfId="0" applyFont="1" applyFill="1" applyBorder="1" applyAlignment="1">
      <alignment wrapText="1"/>
    </xf>
    <xf numFmtId="0" fontId="15" fillId="6" borderId="79" xfId="0" applyFont="1" applyFill="1" applyBorder="1" applyAlignment="1">
      <alignment vertical="center"/>
    </xf>
    <xf numFmtId="0" fontId="15" fillId="6" borderId="15" xfId="0" applyFont="1" applyFill="1" applyBorder="1" applyAlignment="1">
      <alignment vertical="center"/>
    </xf>
    <xf numFmtId="0" fontId="15" fillId="6" borderId="20" xfId="0" applyFont="1" applyFill="1" applyBorder="1" applyAlignment="1">
      <alignment vertical="center"/>
    </xf>
    <xf numFmtId="0" fontId="2" fillId="6" borderId="15" xfId="0" applyFont="1" applyFill="1" applyBorder="1" applyAlignment="1">
      <alignment vertical="center"/>
    </xf>
    <xf numFmtId="0" fontId="2" fillId="6" borderId="20" xfId="0" applyFont="1" applyFill="1" applyBorder="1" applyAlignment="1">
      <alignment vertical="center"/>
    </xf>
    <xf numFmtId="0" fontId="14" fillId="6" borderId="0" xfId="0" applyFont="1" applyFill="1" applyBorder="1" applyAlignment="1">
      <alignment vertical="center" wrapText="1"/>
    </xf>
    <xf numFmtId="0" fontId="13" fillId="6" borderId="0" xfId="0" applyFont="1" applyFill="1" applyBorder="1" applyAlignment="1">
      <alignment vertical="center" wrapText="1"/>
    </xf>
    <xf numFmtId="0" fontId="15" fillId="6" borderId="0" xfId="0" applyFont="1" applyFill="1" applyBorder="1" applyAlignment="1">
      <alignment vertical="center" wrapText="1"/>
    </xf>
    <xf numFmtId="0" fontId="15" fillId="0" borderId="5" xfId="0" applyFont="1" applyBorder="1" applyAlignment="1">
      <alignment wrapText="1"/>
    </xf>
    <xf numFmtId="166" fontId="14" fillId="0" borderId="5" xfId="0" applyNumberFormat="1" applyFont="1" applyBorder="1"/>
    <xf numFmtId="0" fontId="14" fillId="6" borderId="4" xfId="0" applyFont="1" applyFill="1" applyBorder="1"/>
    <xf numFmtId="0" fontId="14" fillId="3" borderId="83" xfId="0" applyFont="1" applyFill="1" applyBorder="1"/>
    <xf numFmtId="1" fontId="14" fillId="3" borderId="83" xfId="0" applyNumberFormat="1" applyFont="1" applyFill="1" applyBorder="1"/>
    <xf numFmtId="0" fontId="14" fillId="0" borderId="84" xfId="0" applyFont="1" applyBorder="1" applyAlignment="1">
      <alignment wrapText="1"/>
    </xf>
    <xf numFmtId="0" fontId="14" fillId="3" borderId="85" xfId="0" applyFont="1" applyFill="1" applyBorder="1"/>
    <xf numFmtId="0" fontId="14" fillId="0" borderId="86" xfId="0" applyFont="1" applyBorder="1"/>
    <xf numFmtId="0" fontId="15" fillId="0" borderId="87" xfId="0" applyFont="1" applyBorder="1"/>
    <xf numFmtId="0" fontId="14" fillId="0" borderId="88" xfId="0" applyFont="1" applyFill="1" applyBorder="1" applyAlignment="1">
      <alignment horizontal="left" vertical="center" wrapText="1"/>
    </xf>
    <xf numFmtId="0" fontId="14" fillId="0" borderId="86" xfId="0" applyFont="1" applyFill="1" applyBorder="1" applyAlignment="1">
      <alignment horizontal="left" vertical="center" wrapText="1"/>
    </xf>
    <xf numFmtId="0" fontId="14" fillId="0" borderId="87" xfId="0" applyFont="1" applyFill="1" applyBorder="1" applyAlignment="1">
      <alignment vertical="center" wrapText="1"/>
    </xf>
    <xf numFmtId="0" fontId="14" fillId="0" borderId="19" xfId="0" applyFont="1" applyBorder="1" applyAlignment="1">
      <alignment wrapText="1"/>
    </xf>
    <xf numFmtId="0" fontId="14" fillId="3" borderId="89" xfId="0" applyFont="1" applyFill="1" applyBorder="1"/>
    <xf numFmtId="0" fontId="14" fillId="0" borderId="88" xfId="0" applyFont="1" applyBorder="1"/>
    <xf numFmtId="0" fontId="14" fillId="0" borderId="20" xfId="0" applyFont="1" applyBorder="1" applyAlignment="1">
      <alignment vertical="center" wrapText="1"/>
    </xf>
    <xf numFmtId="0" fontId="14" fillId="6" borderId="5" xfId="0" applyFont="1" applyFill="1" applyBorder="1" applyAlignment="1">
      <alignment horizontal="left" vertical="center" wrapText="1"/>
    </xf>
    <xf numFmtId="0" fontId="2" fillId="6" borderId="8" xfId="0" applyFont="1" applyFill="1" applyBorder="1"/>
    <xf numFmtId="0" fontId="2" fillId="6" borderId="9" xfId="0" applyFont="1" applyFill="1" applyBorder="1"/>
    <xf numFmtId="0" fontId="2" fillId="6" borderId="10" xfId="0" applyFont="1" applyFill="1" applyBorder="1"/>
    <xf numFmtId="0" fontId="14" fillId="0" borderId="88" xfId="0" applyFont="1" applyBorder="1" applyAlignment="1">
      <alignment wrapText="1"/>
    </xf>
    <xf numFmtId="0" fontId="14" fillId="0" borderId="87" xfId="0" applyFont="1" applyFill="1" applyBorder="1" applyAlignment="1"/>
    <xf numFmtId="0" fontId="14" fillId="0" borderId="20" xfId="0" applyFont="1" applyFill="1" applyBorder="1" applyAlignment="1">
      <alignment vertical="center" wrapText="1"/>
    </xf>
    <xf numFmtId="0" fontId="2" fillId="6" borderId="25" xfId="0" applyFont="1" applyFill="1" applyBorder="1" applyAlignment="1">
      <alignment vertical="center" wrapText="1"/>
    </xf>
    <xf numFmtId="0" fontId="2" fillId="6" borderId="26" xfId="0" applyFont="1" applyFill="1" applyBorder="1" applyAlignment="1">
      <alignment vertical="center" wrapText="1"/>
    </xf>
    <xf numFmtId="0" fontId="15" fillId="0" borderId="91" xfId="0" applyFont="1" applyBorder="1" applyAlignment="1">
      <alignment vertical="center" wrapText="1"/>
    </xf>
    <xf numFmtId="0" fontId="15" fillId="0" borderId="91" xfId="0" applyFont="1" applyBorder="1" applyAlignment="1">
      <alignment vertical="center"/>
    </xf>
    <xf numFmtId="0" fontId="15" fillId="0" borderId="91" xfId="0" applyFont="1" applyBorder="1" applyAlignment="1">
      <alignment wrapText="1"/>
    </xf>
    <xf numFmtId="0" fontId="2" fillId="0" borderId="53" xfId="0" applyFont="1" applyBorder="1"/>
    <xf numFmtId="164" fontId="14" fillId="0" borderId="11" xfId="0" applyNumberFormat="1" applyFont="1" applyFill="1" applyBorder="1" applyAlignment="1">
      <alignment horizontal="center"/>
    </xf>
    <xf numFmtId="165" fontId="14" fillId="0" borderId="4" xfId="0" applyNumberFormat="1" applyFont="1" applyFill="1" applyBorder="1"/>
    <xf numFmtId="165" fontId="14" fillId="0" borderId="0" xfId="0" applyNumberFormat="1" applyFont="1" applyFill="1" applyBorder="1"/>
    <xf numFmtId="164" fontId="14" fillId="0" borderId="5" xfId="0" applyNumberFormat="1" applyFont="1" applyFill="1" applyBorder="1"/>
    <xf numFmtId="2" fontId="14" fillId="0" borderId="5" xfId="0" applyNumberFormat="1" applyFont="1" applyFill="1" applyBorder="1"/>
    <xf numFmtId="2" fontId="14" fillId="0" borderId="0" xfId="0" applyNumberFormat="1" applyFont="1" applyFill="1" applyBorder="1"/>
    <xf numFmtId="164" fontId="14" fillId="0" borderId="4" xfId="0" applyNumberFormat="1" applyFont="1" applyFill="1" applyBorder="1"/>
    <xf numFmtId="0" fontId="14" fillId="6" borderId="0" xfId="0" applyFont="1" applyFill="1" applyBorder="1" applyAlignment="1">
      <alignment vertical="center"/>
    </xf>
    <xf numFmtId="0" fontId="35" fillId="6" borderId="0" xfId="0" applyFont="1" applyFill="1" applyBorder="1" applyAlignment="1">
      <alignment horizontal="center" vertical="center"/>
    </xf>
    <xf numFmtId="0" fontId="36" fillId="6" borderId="0" xfId="0" applyFont="1" applyFill="1" applyBorder="1" applyAlignment="1">
      <alignment vertical="center"/>
    </xf>
    <xf numFmtId="0" fontId="37" fillId="6" borderId="0" xfId="0" applyFont="1" applyFill="1" applyBorder="1" applyAlignment="1">
      <alignment vertical="center"/>
    </xf>
    <xf numFmtId="0" fontId="38" fillId="6" borderId="0" xfId="0" applyFont="1" applyFill="1" applyBorder="1" applyAlignment="1">
      <alignment vertical="center"/>
    </xf>
    <xf numFmtId="0" fontId="0" fillId="6" borderId="0" xfId="0" applyFill="1" applyBorder="1"/>
    <xf numFmtId="0" fontId="39" fillId="6" borderId="0" xfId="0" applyFont="1" applyFill="1" applyBorder="1" applyAlignment="1">
      <alignment horizontal="left" vertical="center" indent="5"/>
    </xf>
    <xf numFmtId="0" fontId="40" fillId="6" borderId="0" xfId="0" applyFont="1" applyFill="1" applyBorder="1" applyAlignment="1">
      <alignment horizontal="left" vertical="center" indent="10"/>
    </xf>
    <xf numFmtId="0" fontId="0" fillId="6" borderId="0" xfId="0" applyFill="1" applyBorder="1" applyAlignment="1">
      <alignment vertical="center"/>
    </xf>
    <xf numFmtId="0" fontId="14" fillId="6" borderId="48" xfId="0" applyFont="1" applyFill="1" applyBorder="1"/>
    <xf numFmtId="0" fontId="14" fillId="6" borderId="49" xfId="0" applyFont="1" applyFill="1" applyBorder="1"/>
    <xf numFmtId="0" fontId="14" fillId="6" borderId="50" xfId="0" applyFont="1" applyFill="1" applyBorder="1"/>
    <xf numFmtId="0" fontId="3" fillId="6" borderId="0" xfId="0" applyNumberFormat="1" applyFont="1" applyFill="1" applyBorder="1" applyAlignment="1"/>
    <xf numFmtId="0" fontId="22" fillId="6" borderId="0" xfId="0" applyNumberFormat="1" applyFont="1" applyFill="1" applyBorder="1" applyAlignment="1">
      <alignment horizontal="center" vertical="center"/>
    </xf>
    <xf numFmtId="0" fontId="3" fillId="6" borderId="0" xfId="0" applyNumberFormat="1" applyFont="1" applyFill="1" applyBorder="1" applyAlignment="1">
      <alignment horizontal="center" wrapText="1"/>
    </xf>
    <xf numFmtId="0" fontId="37" fillId="0" borderId="0" xfId="0" applyFont="1" applyBorder="1" applyAlignment="1">
      <alignment vertical="center"/>
    </xf>
    <xf numFmtId="0" fontId="3" fillId="0" borderId="39" xfId="0" applyFont="1" applyBorder="1" applyAlignment="1">
      <alignment vertical="center"/>
    </xf>
    <xf numFmtId="0" fontId="14" fillId="8" borderId="21" xfId="0" applyFont="1" applyFill="1" applyBorder="1"/>
    <xf numFmtId="164" fontId="14" fillId="8" borderId="16" xfId="0" applyNumberFormat="1" applyFont="1" applyFill="1" applyBorder="1"/>
    <xf numFmtId="2" fontId="14" fillId="8" borderId="16" xfId="0" applyNumberFormat="1" applyFont="1" applyFill="1" applyBorder="1"/>
    <xf numFmtId="164" fontId="14" fillId="8" borderId="86" xfId="0" applyNumberFormat="1" applyFont="1" applyFill="1" applyBorder="1"/>
    <xf numFmtId="0" fontId="14" fillId="8" borderId="16" xfId="0" applyFont="1" applyFill="1" applyBorder="1"/>
    <xf numFmtId="9" fontId="14" fillId="8" borderId="22" xfId="0" applyNumberFormat="1" applyFont="1" applyFill="1" applyBorder="1"/>
    <xf numFmtId="0" fontId="14" fillId="8" borderId="34" xfId="0" applyFont="1" applyFill="1" applyBorder="1"/>
    <xf numFmtId="0" fontId="14" fillId="0" borderId="20" xfId="0" applyFont="1" applyBorder="1" applyAlignment="1">
      <alignment wrapText="1"/>
    </xf>
    <xf numFmtId="10" fontId="2" fillId="6" borderId="0" xfId="0" applyNumberFormat="1" applyFont="1" applyFill="1" applyAlignment="1">
      <alignment vertical="center"/>
    </xf>
    <xf numFmtId="0" fontId="24" fillId="0" borderId="60" xfId="0" applyFont="1" applyBorder="1" applyAlignment="1">
      <alignment wrapText="1"/>
    </xf>
    <xf numFmtId="0" fontId="14" fillId="0" borderId="0" xfId="0" applyFont="1" applyBorder="1" applyAlignment="1">
      <alignment wrapText="1"/>
    </xf>
    <xf numFmtId="168" fontId="34" fillId="0" borderId="0" xfId="0" applyNumberFormat="1" applyFont="1" applyBorder="1" applyAlignment="1">
      <alignment horizontal="right"/>
    </xf>
    <xf numFmtId="164" fontId="0" fillId="0" borderId="0" xfId="0" applyNumberFormat="1" applyBorder="1"/>
    <xf numFmtId="0" fontId="14" fillId="0" borderId="62" xfId="0" applyFont="1" applyBorder="1"/>
    <xf numFmtId="166" fontId="14" fillId="0" borderId="63" xfId="0" applyNumberFormat="1" applyFont="1" applyBorder="1" applyAlignment="1">
      <alignment horizontal="left"/>
    </xf>
    <xf numFmtId="0" fontId="2" fillId="0" borderId="64" xfId="0" applyFont="1" applyBorder="1"/>
    <xf numFmtId="0" fontId="22" fillId="0" borderId="60" xfId="0" applyFont="1" applyBorder="1"/>
    <xf numFmtId="0" fontId="2" fillId="0" borderId="63" xfId="0" applyFont="1" applyBorder="1" applyAlignment="1">
      <alignment horizontal="right"/>
    </xf>
    <xf numFmtId="0" fontId="14" fillId="0" borderId="63" xfId="0" applyFont="1" applyBorder="1" applyAlignment="1">
      <alignment horizontal="left"/>
    </xf>
    <xf numFmtId="9" fontId="2" fillId="0" borderId="0" xfId="0" applyNumberFormat="1" applyFont="1" applyBorder="1"/>
    <xf numFmtId="0" fontId="24" fillId="0" borderId="54" xfId="0" applyFont="1" applyFill="1" applyBorder="1" applyAlignment="1">
      <alignment wrapText="1"/>
    </xf>
    <xf numFmtId="0" fontId="24" fillId="0" borderId="51" xfId="0" applyFont="1" applyFill="1" applyBorder="1"/>
    <xf numFmtId="0" fontId="2" fillId="0" borderId="58" xfId="0" applyFont="1" applyFill="1" applyBorder="1"/>
    <xf numFmtId="0" fontId="2" fillId="0" borderId="59" xfId="0" applyFont="1" applyFill="1" applyBorder="1"/>
    <xf numFmtId="0" fontId="24" fillId="0" borderId="60" xfId="0" applyFont="1" applyFill="1" applyBorder="1" applyAlignment="1">
      <alignment wrapText="1"/>
    </xf>
    <xf numFmtId="0" fontId="24" fillId="0" borderId="0" xfId="0" applyFont="1" applyFill="1" applyBorder="1" applyAlignment="1">
      <alignment wrapText="1"/>
    </xf>
    <xf numFmtId="0" fontId="2" fillId="0" borderId="61" xfId="0" applyFont="1" applyFill="1" applyBorder="1"/>
    <xf numFmtId="0" fontId="14" fillId="0" borderId="60" xfId="0" applyFont="1" applyFill="1" applyBorder="1"/>
    <xf numFmtId="0" fontId="14" fillId="0" borderId="0" xfId="0" applyFont="1" applyFill="1" applyBorder="1" applyAlignment="1">
      <alignment horizontal="center"/>
    </xf>
    <xf numFmtId="0" fontId="2" fillId="0" borderId="60" xfId="0" applyFont="1" applyFill="1" applyBorder="1"/>
    <xf numFmtId="0" fontId="24" fillId="0" borderId="60" xfId="0" applyFont="1" applyFill="1" applyBorder="1"/>
    <xf numFmtId="0" fontId="24" fillId="0" borderId="0" xfId="0" applyFont="1" applyFill="1" applyBorder="1"/>
    <xf numFmtId="8" fontId="14" fillId="0" borderId="0" xfId="0" applyNumberFormat="1" applyFont="1" applyFill="1" applyBorder="1"/>
    <xf numFmtId="0" fontId="30" fillId="0" borderId="0" xfId="1" applyFont="1" applyFill="1" applyBorder="1"/>
    <xf numFmtId="0" fontId="2" fillId="0" borderId="60" xfId="0" applyFont="1" applyFill="1" applyBorder="1" applyAlignment="1">
      <alignment horizontal="center" vertical="center" textRotation="90"/>
    </xf>
    <xf numFmtId="8" fontId="2" fillId="0" borderId="0" xfId="0" applyNumberFormat="1" applyFont="1" applyFill="1" applyBorder="1"/>
    <xf numFmtId="0" fontId="22" fillId="0" borderId="0" xfId="0" applyFont="1" applyFill="1" applyBorder="1" applyAlignment="1">
      <alignment horizontal="center" vertical="center" textRotation="90"/>
    </xf>
    <xf numFmtId="0" fontId="22" fillId="0" borderId="0" xfId="0" applyFont="1" applyFill="1" applyBorder="1" applyAlignment="1">
      <alignment horizontal="center" vertical="center" textRotation="90" wrapText="1"/>
    </xf>
    <xf numFmtId="10" fontId="2" fillId="0" borderId="0" xfId="0" applyNumberFormat="1" applyFont="1" applyFill="1" applyBorder="1" applyAlignment="1">
      <alignment horizontal="center" vertical="center"/>
    </xf>
    <xf numFmtId="0" fontId="14" fillId="0" borderId="60" xfId="0" applyFont="1" applyFill="1" applyBorder="1" applyAlignment="1">
      <alignment horizontal="center" textRotation="90"/>
    </xf>
    <xf numFmtId="0" fontId="14" fillId="0" borderId="0" xfId="0" applyFont="1" applyFill="1" applyBorder="1" applyAlignment="1">
      <alignment horizontal="center" textRotation="90"/>
    </xf>
    <xf numFmtId="0" fontId="22" fillId="0" borderId="0" xfId="0" applyFont="1" applyFill="1" applyBorder="1"/>
    <xf numFmtId="0" fontId="14" fillId="0" borderId="60" xfId="0" applyFont="1" applyFill="1" applyBorder="1" applyAlignment="1">
      <alignment textRotation="90"/>
    </xf>
    <xf numFmtId="8" fontId="14" fillId="0" borderId="0" xfId="0" applyNumberFormat="1" applyFont="1" applyFill="1" applyBorder="1" applyAlignment="1">
      <alignment textRotation="90"/>
    </xf>
    <xf numFmtId="0" fontId="14" fillId="0" borderId="0" xfId="0" applyFont="1" applyFill="1" applyBorder="1" applyAlignment="1">
      <alignment vertical="center" textRotation="90" wrapText="1"/>
    </xf>
    <xf numFmtId="10" fontId="14" fillId="0" borderId="0" xfId="0" applyNumberFormat="1" applyFont="1" applyFill="1" applyBorder="1" applyAlignment="1">
      <alignment vertical="center"/>
    </xf>
    <xf numFmtId="10" fontId="2" fillId="0" borderId="0" xfId="0" applyNumberFormat="1" applyFont="1" applyFill="1" applyBorder="1" applyAlignment="1">
      <alignment vertical="center"/>
    </xf>
    <xf numFmtId="0" fontId="2" fillId="0" borderId="62" xfId="0" applyFont="1" applyFill="1" applyBorder="1" applyAlignment="1">
      <alignment vertical="center" textRotation="90"/>
    </xf>
    <xf numFmtId="0" fontId="2" fillId="0" borderId="63" xfId="0" applyFont="1" applyFill="1" applyBorder="1"/>
    <xf numFmtId="8" fontId="2" fillId="0" borderId="63" xfId="0" applyNumberFormat="1" applyFont="1" applyFill="1" applyBorder="1"/>
    <xf numFmtId="0" fontId="22" fillId="0" borderId="63" xfId="0" applyFont="1" applyFill="1" applyBorder="1" applyAlignment="1">
      <alignment vertical="center" textRotation="90"/>
    </xf>
    <xf numFmtId="0" fontId="22" fillId="0" borderId="63" xfId="0" applyFont="1" applyFill="1" applyBorder="1" applyAlignment="1">
      <alignment vertical="center" textRotation="90" wrapText="1"/>
    </xf>
    <xf numFmtId="10" fontId="2" fillId="0" borderId="63" xfId="0" applyNumberFormat="1" applyFont="1" applyFill="1" applyBorder="1" applyAlignment="1">
      <alignment vertical="center"/>
    </xf>
    <xf numFmtId="0" fontId="2" fillId="0" borderId="64" xfId="0" applyFont="1" applyFill="1" applyBorder="1"/>
    <xf numFmtId="0" fontId="0" fillId="0" borderId="60" xfId="0" applyBorder="1" applyAlignment="1">
      <alignment horizontal="center" vertical="center"/>
    </xf>
    <xf numFmtId="0" fontId="2" fillId="0" borderId="60" xfId="0" applyFont="1" applyBorder="1"/>
    <xf numFmtId="8" fontId="2" fillId="0" borderId="0" xfId="0" applyNumberFormat="1" applyFont="1" applyBorder="1"/>
    <xf numFmtId="0" fontId="14" fillId="6" borderId="60" xfId="0" applyFont="1" applyFill="1" applyBorder="1" applyAlignment="1"/>
    <xf numFmtId="0" fontId="22" fillId="6" borderId="0" xfId="0" applyFont="1" applyFill="1" applyBorder="1"/>
    <xf numFmtId="10" fontId="2" fillId="6" borderId="0" xfId="0" applyNumberFormat="1" applyFont="1" applyFill="1" applyBorder="1" applyAlignment="1">
      <alignment vertical="center"/>
    </xf>
    <xf numFmtId="10" fontId="2" fillId="6" borderId="61" xfId="0" applyNumberFormat="1" applyFont="1" applyFill="1" applyBorder="1" applyAlignment="1">
      <alignment vertical="center"/>
    </xf>
    <xf numFmtId="0" fontId="2" fillId="6" borderId="4" xfId="0" applyFont="1" applyFill="1" applyBorder="1"/>
    <xf numFmtId="0" fontId="19" fillId="0" borderId="95" xfId="0" applyFont="1" applyBorder="1" applyAlignment="1">
      <alignment vertical="center"/>
    </xf>
    <xf numFmtId="0" fontId="2" fillId="0" borderId="42" xfId="0" applyFont="1" applyFill="1" applyBorder="1"/>
    <xf numFmtId="0" fontId="2" fillId="0" borderId="42" xfId="0" applyFont="1" applyBorder="1"/>
    <xf numFmtId="0" fontId="12" fillId="0" borderId="96" xfId="0" applyFont="1" applyBorder="1"/>
    <xf numFmtId="0" fontId="15" fillId="0" borderId="97" xfId="0" applyFont="1" applyBorder="1"/>
    <xf numFmtId="0" fontId="2" fillId="6" borderId="69" xfId="0" applyFont="1" applyFill="1" applyBorder="1"/>
    <xf numFmtId="0" fontId="2" fillId="6" borderId="68" xfId="0" applyFont="1" applyFill="1" applyBorder="1"/>
    <xf numFmtId="0" fontId="14" fillId="6" borderId="71" xfId="0" applyFont="1" applyFill="1" applyBorder="1"/>
    <xf numFmtId="0" fontId="2" fillId="6" borderId="71" xfId="0" applyFont="1" applyFill="1" applyBorder="1"/>
    <xf numFmtId="0" fontId="2" fillId="6" borderId="72" xfId="0" applyFont="1" applyFill="1" applyBorder="1"/>
    <xf numFmtId="0" fontId="24" fillId="0" borderId="98" xfId="0" applyFont="1" applyBorder="1" applyAlignment="1">
      <alignment horizontal="center" wrapText="1"/>
    </xf>
    <xf numFmtId="0" fontId="14" fillId="0" borderId="98" xfId="0" applyFont="1" applyBorder="1" applyAlignment="1">
      <alignment horizontal="right" wrapText="1"/>
    </xf>
    <xf numFmtId="0" fontId="27" fillId="3" borderId="98" xfId="0" applyNumberFormat="1" applyFont="1" applyFill="1" applyBorder="1"/>
    <xf numFmtId="0" fontId="24" fillId="0" borderId="0" xfId="0" applyFont="1" applyBorder="1" applyAlignment="1">
      <alignment horizontal="center" vertical="center" wrapText="1"/>
    </xf>
    <xf numFmtId="1" fontId="14" fillId="0" borderId="0" xfId="0" applyNumberFormat="1" applyFont="1" applyBorder="1" applyAlignment="1">
      <alignment horizontal="right" wrapText="1"/>
    </xf>
    <xf numFmtId="1" fontId="27" fillId="3" borderId="0" xfId="0" applyNumberFormat="1" applyFont="1" applyFill="1" applyBorder="1" applyAlignment="1">
      <alignment horizontal="right" wrapText="1"/>
    </xf>
    <xf numFmtId="0" fontId="24" fillId="0" borderId="27" xfId="0" applyFont="1" applyBorder="1" applyAlignment="1">
      <alignment horizontal="center" wrapText="1"/>
    </xf>
    <xf numFmtId="0" fontId="14" fillId="0" borderId="27" xfId="0" applyFont="1" applyBorder="1" applyAlignment="1">
      <alignment horizontal="right" wrapText="1"/>
    </xf>
    <xf numFmtId="1" fontId="27" fillId="3" borderId="27" xfId="0" applyNumberFormat="1" applyFont="1" applyFill="1" applyBorder="1"/>
    <xf numFmtId="0" fontId="14" fillId="6" borderId="99" xfId="0" applyNumberFormat="1" applyFont="1" applyFill="1" applyBorder="1"/>
    <xf numFmtId="1" fontId="14" fillId="6" borderId="99" xfId="0" applyNumberFormat="1" applyFont="1" applyFill="1" applyBorder="1"/>
    <xf numFmtId="1" fontId="14" fillId="6" borderId="99" xfId="0" applyNumberFormat="1" applyFont="1" applyFill="1" applyBorder="1" applyAlignment="1">
      <alignment horizontal="right" wrapText="1"/>
    </xf>
    <xf numFmtId="0" fontId="2" fillId="6" borderId="70" xfId="0" applyFont="1" applyFill="1" applyBorder="1"/>
    <xf numFmtId="0" fontId="45" fillId="0" borderId="18" xfId="0" applyFont="1" applyBorder="1" applyAlignment="1">
      <alignment horizontal="center" vertical="center" wrapText="1"/>
    </xf>
    <xf numFmtId="0" fontId="45" fillId="0" borderId="28" xfId="0" applyFont="1" applyBorder="1" applyAlignment="1">
      <alignment horizontal="center" wrapText="1"/>
    </xf>
    <xf numFmtId="1" fontId="45" fillId="0" borderId="18" xfId="0" applyNumberFormat="1" applyFont="1" applyBorder="1" applyAlignment="1">
      <alignment horizontal="center"/>
    </xf>
    <xf numFmtId="3" fontId="45" fillId="0" borderId="28" xfId="0" applyNumberFormat="1" applyFont="1" applyBorder="1" applyAlignment="1">
      <alignment horizontal="center" vertical="center" wrapText="1"/>
    </xf>
    <xf numFmtId="0" fontId="14" fillId="6" borderId="75" xfId="0" applyFont="1" applyFill="1" applyBorder="1" applyAlignment="1">
      <alignment horizontal="left" vertical="center" wrapText="1"/>
    </xf>
    <xf numFmtId="0" fontId="14" fillId="6" borderId="73" xfId="0" applyFont="1" applyFill="1" applyBorder="1" applyAlignment="1">
      <alignment horizontal="left" vertical="center" wrapText="1"/>
    </xf>
    <xf numFmtId="0" fontId="14" fillId="6" borderId="74" xfId="0" applyFont="1" applyFill="1" applyBorder="1" applyAlignment="1">
      <alignment horizontal="left" vertical="center" wrapText="1"/>
    </xf>
    <xf numFmtId="0" fontId="15" fillId="6" borderId="75" xfId="0" applyFont="1" applyFill="1" applyBorder="1" applyAlignment="1">
      <alignment horizontal="left" vertical="center" wrapText="1"/>
    </xf>
    <xf numFmtId="0" fontId="15" fillId="6" borderId="73" xfId="0" applyFont="1" applyFill="1" applyBorder="1" applyAlignment="1">
      <alignment horizontal="left" vertical="center" wrapText="1"/>
    </xf>
    <xf numFmtId="0" fontId="15" fillId="6" borderId="74" xfId="0" applyFont="1" applyFill="1" applyBorder="1" applyAlignment="1">
      <alignment horizontal="left" vertical="center" wrapText="1"/>
    </xf>
    <xf numFmtId="0" fontId="14" fillId="6" borderId="0" xfId="0" applyFont="1" applyFill="1" applyBorder="1" applyAlignment="1">
      <alignment horizontal="left"/>
    </xf>
    <xf numFmtId="0" fontId="24" fillId="0" borderId="5" xfId="0" applyNumberFormat="1" applyFont="1" applyBorder="1"/>
    <xf numFmtId="0" fontId="14" fillId="8" borderId="22" xfId="0" applyFont="1" applyFill="1" applyBorder="1" applyAlignment="1">
      <alignment horizontal="right" vertical="center" wrapText="1"/>
    </xf>
    <xf numFmtId="0" fontId="14" fillId="0" borderId="0" xfId="0" applyFont="1" applyFill="1" applyBorder="1" applyAlignment="1">
      <alignment wrapText="1"/>
    </xf>
    <xf numFmtId="0" fontId="14" fillId="0" borderId="15" xfId="0" applyFont="1" applyFill="1" applyBorder="1" applyAlignment="1">
      <alignment wrapText="1"/>
    </xf>
    <xf numFmtId="166" fontId="14" fillId="4" borderId="17" xfId="0" applyNumberFormat="1" applyFont="1" applyFill="1" applyBorder="1"/>
    <xf numFmtId="0" fontId="14" fillId="4" borderId="17" xfId="0" applyFont="1" applyFill="1" applyBorder="1"/>
    <xf numFmtId="0" fontId="14" fillId="0" borderId="81" xfId="0" applyFont="1" applyFill="1" applyBorder="1"/>
    <xf numFmtId="0" fontId="14" fillId="0" borderId="17" xfId="0" applyFont="1" applyFill="1" applyBorder="1"/>
    <xf numFmtId="1" fontId="14" fillId="0" borderId="17" xfId="0" applyNumberFormat="1" applyFont="1" applyFill="1" applyBorder="1"/>
    <xf numFmtId="1" fontId="14" fillId="0" borderId="80" xfId="0" applyNumberFormat="1" applyFont="1" applyFill="1" applyBorder="1"/>
    <xf numFmtId="1" fontId="14" fillId="0" borderId="16" xfId="0" applyNumberFormat="1" applyFont="1" applyFill="1" applyBorder="1"/>
    <xf numFmtId="164" fontId="14" fillId="0" borderId="82" xfId="0" applyNumberFormat="1" applyFont="1" applyFill="1" applyBorder="1"/>
    <xf numFmtId="166" fontId="14" fillId="0" borderId="82" xfId="0" applyNumberFormat="1" applyFont="1" applyFill="1" applyBorder="1"/>
    <xf numFmtId="0" fontId="14" fillId="0" borderId="16" xfId="0" applyFont="1" applyFill="1" applyBorder="1"/>
    <xf numFmtId="1" fontId="14" fillId="0" borderId="0" xfId="0" applyNumberFormat="1" applyFont="1" applyFill="1" applyBorder="1"/>
    <xf numFmtId="166" fontId="14" fillId="0" borderId="16" xfId="0" applyNumberFormat="1" applyFont="1" applyFill="1" applyBorder="1"/>
    <xf numFmtId="0" fontId="14" fillId="0" borderId="82" xfId="0" applyFont="1" applyFill="1" applyBorder="1"/>
    <xf numFmtId="9" fontId="14" fillId="0" borderId="16" xfId="0" applyNumberFormat="1" applyFont="1" applyFill="1" applyBorder="1"/>
    <xf numFmtId="0" fontId="14" fillId="6" borderId="4" xfId="0" applyFont="1" applyFill="1" applyBorder="1" applyAlignment="1">
      <alignment vertical="center"/>
    </xf>
    <xf numFmtId="0" fontId="19" fillId="6" borderId="4" xfId="0" applyFont="1" applyFill="1" applyBorder="1" applyAlignment="1">
      <alignment vertical="center"/>
    </xf>
    <xf numFmtId="0" fontId="19" fillId="0" borderId="4" xfId="0" applyFont="1" applyFill="1" applyBorder="1" applyAlignment="1">
      <alignment vertical="center"/>
    </xf>
    <xf numFmtId="0" fontId="2" fillId="0" borderId="5" xfId="0" applyFont="1" applyFill="1" applyBorder="1"/>
    <xf numFmtId="0" fontId="4" fillId="6" borderId="4" xfId="0" applyFont="1" applyFill="1" applyBorder="1" applyAlignment="1">
      <alignment horizontal="left" vertical="center"/>
    </xf>
    <xf numFmtId="0" fontId="14" fillId="6" borderId="0" xfId="0" applyFont="1" applyFill="1" applyBorder="1" applyAlignment="1">
      <alignment vertical="top"/>
    </xf>
    <xf numFmtId="0" fontId="16" fillId="6" borderId="5" xfId="0" applyFont="1" applyFill="1" applyBorder="1" applyAlignment="1">
      <alignment vertical="top"/>
    </xf>
    <xf numFmtId="0" fontId="10" fillId="6" borderId="4" xfId="0" applyFont="1" applyFill="1" applyBorder="1"/>
    <xf numFmtId="0" fontId="14" fillId="6" borderId="4" xfId="0" applyFont="1" applyFill="1" applyBorder="1" applyAlignment="1">
      <alignment horizontal="left"/>
    </xf>
    <xf numFmtId="0" fontId="14" fillId="6" borderId="5" xfId="0" applyFont="1" applyFill="1" applyBorder="1" applyAlignment="1">
      <alignment horizontal="left"/>
    </xf>
    <xf numFmtId="0" fontId="6" fillId="0" borderId="100" xfId="0" applyFont="1" applyFill="1" applyBorder="1" applyAlignment="1">
      <alignment vertical="center"/>
    </xf>
    <xf numFmtId="0" fontId="6" fillId="0" borderId="101" xfId="0" applyFont="1" applyFill="1" applyBorder="1" applyAlignment="1">
      <alignment vertical="center"/>
    </xf>
    <xf numFmtId="0" fontId="14" fillId="0" borderId="0" xfId="0" applyNumberFormat="1" applyFont="1" applyBorder="1"/>
    <xf numFmtId="0" fontId="3" fillId="6" borderId="103" xfId="0" applyFont="1" applyFill="1" applyBorder="1" applyAlignment="1"/>
    <xf numFmtId="0" fontId="3" fillId="6" borderId="104" xfId="0" applyFont="1" applyFill="1" applyBorder="1" applyAlignment="1"/>
    <xf numFmtId="49" fontId="22" fillId="6" borderId="69" xfId="0" applyNumberFormat="1" applyFont="1" applyFill="1" applyBorder="1" applyAlignment="1">
      <alignment horizontal="center" vertical="center"/>
    </xf>
    <xf numFmtId="2" fontId="14" fillId="0" borderId="8" xfId="0" applyNumberFormat="1" applyFont="1" applyBorder="1"/>
    <xf numFmtId="8" fontId="14" fillId="0" borderId="9" xfId="0" applyNumberFormat="1" applyFont="1" applyBorder="1"/>
    <xf numFmtId="0" fontId="24" fillId="6" borderId="69" xfId="0" applyNumberFormat="1" applyFont="1" applyFill="1" applyBorder="1" applyAlignment="1">
      <alignment horizontal="left" wrapText="1"/>
    </xf>
    <xf numFmtId="0" fontId="2" fillId="6" borderId="69" xfId="0" applyFont="1" applyFill="1" applyBorder="1" applyAlignment="1">
      <alignment horizontal="center"/>
    </xf>
    <xf numFmtId="164" fontId="14" fillId="6" borderId="69" xfId="0" applyNumberFormat="1" applyFont="1" applyFill="1" applyBorder="1"/>
    <xf numFmtId="164" fontId="14" fillId="6" borderId="72" xfId="0" applyNumberFormat="1" applyFont="1" applyFill="1" applyBorder="1"/>
    <xf numFmtId="0" fontId="14" fillId="0" borderId="10" xfId="0" applyNumberFormat="1" applyFont="1" applyBorder="1"/>
    <xf numFmtId="0" fontId="2" fillId="2" borderId="11" xfId="0" applyFont="1" applyFill="1" applyBorder="1" applyAlignment="1">
      <alignment wrapText="1"/>
    </xf>
    <xf numFmtId="0" fontId="3" fillId="2" borderId="4" xfId="0" applyFont="1" applyFill="1" applyBorder="1" applyAlignment="1"/>
    <xf numFmtId="0" fontId="3" fillId="2" borderId="0" xfId="0" applyFont="1" applyFill="1" applyBorder="1" applyAlignment="1"/>
    <xf numFmtId="0" fontId="3" fillId="7" borderId="4" xfId="0" applyFont="1" applyFill="1" applyBorder="1" applyAlignment="1"/>
    <xf numFmtId="0" fontId="3" fillId="7" borderId="0" xfId="0" applyFont="1" applyFill="1" applyBorder="1" applyAlignment="1"/>
    <xf numFmtId="0" fontId="11" fillId="6" borderId="14" xfId="0" applyFont="1" applyFill="1" applyBorder="1" applyAlignment="1">
      <alignment vertical="center"/>
    </xf>
    <xf numFmtId="0" fontId="2" fillId="6" borderId="2" xfId="0" applyFont="1" applyFill="1" applyBorder="1"/>
    <xf numFmtId="165" fontId="2" fillId="6" borderId="2" xfId="0" applyNumberFormat="1" applyFont="1" applyFill="1" applyBorder="1"/>
    <xf numFmtId="165" fontId="2" fillId="6" borderId="3" xfId="0" applyNumberFormat="1" applyFont="1" applyFill="1" applyBorder="1"/>
    <xf numFmtId="0" fontId="24" fillId="6" borderId="0" xfId="0" applyFont="1" applyFill="1" applyBorder="1" applyAlignment="1">
      <alignment horizontal="left" wrapText="1"/>
    </xf>
    <xf numFmtId="0" fontId="3" fillId="6" borderId="5" xfId="0" applyFont="1" applyFill="1" applyBorder="1" applyAlignment="1">
      <alignment horizontal="left" vertical="center" wrapText="1"/>
    </xf>
    <xf numFmtId="0" fontId="24" fillId="6" borderId="0" xfId="0" applyFont="1" applyFill="1" applyBorder="1" applyAlignment="1">
      <alignment wrapText="1"/>
    </xf>
    <xf numFmtId="164" fontId="14" fillId="6" borderId="73" xfId="0" applyNumberFormat="1" applyFont="1" applyFill="1" applyBorder="1"/>
    <xf numFmtId="164" fontId="14" fillId="6" borderId="15" xfId="0" applyNumberFormat="1" applyFont="1" applyFill="1" applyBorder="1"/>
    <xf numFmtId="164" fontId="14" fillId="8" borderId="82" xfId="0" applyNumberFormat="1" applyFont="1" applyFill="1" applyBorder="1"/>
    <xf numFmtId="0" fontId="14" fillId="0" borderId="86" xfId="0" applyFont="1" applyFill="1" applyBorder="1" applyAlignment="1">
      <alignment wrapText="1"/>
    </xf>
    <xf numFmtId="0" fontId="14" fillId="6" borderId="20" xfId="0" applyFont="1" applyFill="1" applyBorder="1" applyAlignment="1">
      <alignment horizontal="left" vertical="center" wrapText="1"/>
    </xf>
    <xf numFmtId="164" fontId="24" fillId="0" borderId="16" xfId="0" applyNumberFormat="1" applyFont="1" applyFill="1" applyBorder="1"/>
    <xf numFmtId="0" fontId="24" fillId="0" borderId="0" xfId="0" applyFont="1" applyBorder="1"/>
    <xf numFmtId="0" fontId="14" fillId="6" borderId="99" xfId="0" applyNumberFormat="1" applyFont="1" applyFill="1" applyBorder="1" applyAlignment="1">
      <alignment horizontal="right" wrapText="1"/>
    </xf>
    <xf numFmtId="0" fontId="14" fillId="8" borderId="106" xfId="0" applyFont="1" applyFill="1" applyBorder="1"/>
    <xf numFmtId="164" fontId="14" fillId="8" borderId="107" xfId="0" applyNumberFormat="1" applyFont="1" applyFill="1" applyBorder="1"/>
    <xf numFmtId="0" fontId="14" fillId="0" borderId="84" xfId="0" applyFont="1" applyFill="1" applyBorder="1" applyAlignment="1">
      <alignment wrapText="1"/>
    </xf>
    <xf numFmtId="0" fontId="14" fillId="0" borderId="108" xfId="0" applyFont="1" applyFill="1" applyBorder="1" applyAlignment="1">
      <alignment wrapText="1"/>
    </xf>
    <xf numFmtId="0" fontId="14" fillId="0" borderId="109" xfId="0" applyFont="1" applyBorder="1"/>
    <xf numFmtId="0" fontId="14" fillId="0" borderId="110" xfId="0" applyFont="1" applyFill="1" applyBorder="1" applyAlignment="1">
      <alignment vertical="center" wrapText="1"/>
    </xf>
    <xf numFmtId="0" fontId="2" fillId="6" borderId="112" xfId="0" applyFont="1" applyFill="1" applyBorder="1"/>
    <xf numFmtId="164" fontId="14" fillId="8" borderId="17" xfId="0" applyNumberFormat="1" applyFont="1" applyFill="1" applyBorder="1"/>
    <xf numFmtId="8" fontId="14" fillId="0" borderId="0" xfId="0" applyNumberFormat="1" applyFont="1" applyFill="1" applyBorder="1" applyAlignment="1">
      <alignment vertical="center" textRotation="90"/>
    </xf>
    <xf numFmtId="0" fontId="14" fillId="6" borderId="0" xfId="0" applyFont="1" applyFill="1" applyBorder="1" applyAlignment="1"/>
    <xf numFmtId="8" fontId="2" fillId="6" borderId="0" xfId="0" applyNumberFormat="1" applyFont="1" applyFill="1"/>
    <xf numFmtId="0" fontId="22" fillId="6" borderId="0" xfId="0" applyFont="1" applyFill="1" applyAlignment="1">
      <alignment vertical="center" textRotation="90"/>
    </xf>
    <xf numFmtId="0" fontId="22" fillId="6" borderId="0" xfId="0" applyFont="1" applyFill="1" applyAlignment="1">
      <alignment vertical="center" textRotation="90" wrapText="1"/>
    </xf>
    <xf numFmtId="0" fontId="43" fillId="6" borderId="0" xfId="0" applyFont="1" applyFill="1" applyBorder="1" applyAlignment="1">
      <alignment horizontal="left"/>
    </xf>
    <xf numFmtId="8" fontId="2" fillId="6" borderId="0" xfId="0" applyNumberFormat="1" applyFont="1" applyFill="1" applyBorder="1"/>
    <xf numFmtId="0" fontId="22" fillId="6" borderId="0" xfId="0" applyFont="1" applyFill="1" applyBorder="1" applyAlignment="1">
      <alignment horizontal="center" textRotation="90"/>
    </xf>
    <xf numFmtId="0" fontId="42" fillId="6" borderId="0" xfId="0" applyFont="1" applyFill="1"/>
    <xf numFmtId="166" fontId="14" fillId="6" borderId="0" xfId="0" applyNumberFormat="1" applyFont="1" applyFill="1" applyBorder="1" applyAlignment="1">
      <alignment horizontal="left"/>
    </xf>
    <xf numFmtId="0" fontId="22" fillId="6" borderId="0" xfId="0" applyFont="1" applyFill="1"/>
    <xf numFmtId="0" fontId="2" fillId="6" borderId="0" xfId="0" applyFont="1" applyFill="1" applyBorder="1" applyAlignment="1">
      <alignment vertical="center" textRotation="90"/>
    </xf>
    <xf numFmtId="0" fontId="22" fillId="6" borderId="0" xfId="0" applyFont="1" applyFill="1" applyBorder="1" applyAlignment="1">
      <alignment vertical="center" textRotation="90"/>
    </xf>
    <xf numFmtId="0" fontId="22" fillId="6" borderId="0" xfId="0" applyFont="1" applyFill="1" applyBorder="1" applyAlignment="1">
      <alignment vertical="center" textRotation="90" wrapText="1"/>
    </xf>
    <xf numFmtId="0" fontId="43" fillId="6" borderId="57" xfId="0" applyFont="1" applyFill="1" applyBorder="1" applyAlignment="1">
      <alignment horizontal="left"/>
    </xf>
    <xf numFmtId="0" fontId="2" fillId="6" borderId="58" xfId="0" applyFont="1" applyFill="1" applyBorder="1"/>
    <xf numFmtId="8" fontId="2" fillId="6" borderId="58" xfId="0" applyNumberFormat="1" applyFont="1" applyFill="1" applyBorder="1"/>
    <xf numFmtId="0" fontId="22" fillId="6" borderId="58" xfId="0" applyFont="1" applyFill="1" applyBorder="1" applyAlignment="1">
      <alignment horizontal="center" textRotation="90"/>
    </xf>
    <xf numFmtId="10" fontId="2" fillId="6" borderId="58" xfId="0" applyNumberFormat="1" applyFont="1" applyFill="1" applyBorder="1" applyAlignment="1">
      <alignment vertical="center"/>
    </xf>
    <xf numFmtId="10" fontId="2" fillId="6" borderId="59" xfId="0" applyNumberFormat="1" applyFont="1" applyFill="1" applyBorder="1" applyAlignment="1">
      <alignment vertical="center"/>
    </xf>
    <xf numFmtId="0" fontId="43" fillId="6" borderId="60" xfId="0" applyFont="1" applyFill="1" applyBorder="1" applyAlignment="1">
      <alignment horizontal="left"/>
    </xf>
    <xf numFmtId="0" fontId="1" fillId="6" borderId="0" xfId="0" applyFont="1" applyFill="1" applyBorder="1" applyAlignment="1">
      <alignment horizontal="left" wrapText="1"/>
    </xf>
    <xf numFmtId="0" fontId="2" fillId="6" borderId="63" xfId="0" applyFont="1" applyFill="1" applyBorder="1"/>
    <xf numFmtId="0" fontId="2" fillId="6" borderId="64" xfId="0" applyFont="1" applyFill="1" applyBorder="1"/>
    <xf numFmtId="0" fontId="2" fillId="6" borderId="61" xfId="0" applyFont="1" applyFill="1" applyBorder="1"/>
    <xf numFmtId="0" fontId="3" fillId="6" borderId="57" xfId="0" applyFont="1" applyFill="1" applyBorder="1"/>
    <xf numFmtId="166" fontId="0" fillId="0" borderId="113" xfId="0" applyNumberFormat="1" applyBorder="1"/>
    <xf numFmtId="0" fontId="2" fillId="0" borderId="113" xfId="0" applyFont="1" applyBorder="1"/>
    <xf numFmtId="0" fontId="2" fillId="0" borderId="114" xfId="0" applyFont="1" applyBorder="1"/>
    <xf numFmtId="0" fontId="3" fillId="0" borderId="60" xfId="0" applyFont="1" applyBorder="1"/>
    <xf numFmtId="0" fontId="22" fillId="0" borderId="58" xfId="0" applyFont="1" applyFill="1" applyBorder="1"/>
    <xf numFmtId="0" fontId="2" fillId="0" borderId="58" xfId="0" applyFont="1" applyFill="1" applyBorder="1" applyAlignment="1">
      <alignment horizontal="right"/>
    </xf>
    <xf numFmtId="0" fontId="14" fillId="0" borderId="58" xfId="0" applyFont="1" applyFill="1" applyBorder="1" applyAlignment="1">
      <alignment horizontal="left"/>
    </xf>
    <xf numFmtId="0" fontId="31" fillId="6" borderId="60" xfId="0" applyFont="1" applyFill="1" applyBorder="1"/>
    <xf numFmtId="0" fontId="22" fillId="6" borderId="60" xfId="0" applyFont="1" applyFill="1" applyBorder="1"/>
    <xf numFmtId="0" fontId="2" fillId="0" borderId="0" xfId="0" applyFont="1" applyFill="1"/>
    <xf numFmtId="0" fontId="2" fillId="0" borderId="61" xfId="0" applyFont="1" applyBorder="1" applyAlignment="1">
      <alignment wrapText="1"/>
    </xf>
    <xf numFmtId="0" fontId="2" fillId="6" borderId="0" xfId="0" applyFont="1" applyFill="1" applyAlignment="1">
      <alignment wrapText="1"/>
    </xf>
    <xf numFmtId="0" fontId="14" fillId="0" borderId="91" xfId="0" applyFont="1" applyFill="1" applyBorder="1" applyAlignment="1">
      <alignment wrapText="1"/>
    </xf>
    <xf numFmtId="0" fontId="22" fillId="0" borderId="91" xfId="0" applyFont="1" applyFill="1" applyBorder="1" applyAlignment="1">
      <alignment wrapText="1"/>
    </xf>
    <xf numFmtId="0" fontId="14" fillId="0" borderId="91" xfId="0" applyFont="1" applyFill="1" applyBorder="1"/>
    <xf numFmtId="0" fontId="14" fillId="0" borderId="60" xfId="0" applyFont="1" applyFill="1" applyBorder="1" applyAlignment="1">
      <alignment horizontal="left"/>
    </xf>
    <xf numFmtId="0" fontId="14" fillId="0" borderId="0" xfId="0" applyFont="1" applyFill="1" applyBorder="1" applyAlignment="1">
      <alignment horizontal="left"/>
    </xf>
    <xf numFmtId="0" fontId="14" fillId="0" borderId="63" xfId="0" applyFont="1" applyFill="1" applyBorder="1"/>
    <xf numFmtId="0" fontId="14" fillId="0" borderId="58" xfId="0" applyFont="1" applyFill="1" applyBorder="1"/>
    <xf numFmtId="0" fontId="24" fillId="0" borderId="53" xfId="0" applyFont="1" applyFill="1" applyBorder="1"/>
    <xf numFmtId="0" fontId="24" fillId="0" borderId="52" xfId="0" applyFont="1" applyFill="1" applyBorder="1"/>
    <xf numFmtId="8" fontId="14" fillId="0" borderId="59" xfId="0" applyNumberFormat="1" applyFont="1" applyFill="1" applyBorder="1"/>
    <xf numFmtId="8" fontId="14" fillId="0" borderId="61" xfId="0" applyNumberFormat="1" applyFont="1" applyFill="1" applyBorder="1"/>
    <xf numFmtId="8" fontId="14" fillId="0" borderId="64" xfId="0" applyNumberFormat="1" applyFont="1" applyFill="1" applyBorder="1"/>
    <xf numFmtId="0" fontId="3" fillId="6" borderId="60" xfId="0" applyFont="1" applyFill="1" applyBorder="1"/>
    <xf numFmtId="0" fontId="14" fillId="0" borderId="60" xfId="0" applyFont="1" applyBorder="1" applyAlignment="1">
      <alignment wrapText="1"/>
    </xf>
    <xf numFmtId="0" fontId="47" fillId="0" borderId="0" xfId="0" applyFont="1" applyFill="1" applyBorder="1" applyAlignment="1">
      <alignment horizontal="right" vertical="center" wrapText="1"/>
    </xf>
    <xf numFmtId="0" fontId="48" fillId="0" borderId="0" xfId="0" applyFont="1" applyFill="1" applyBorder="1" applyAlignment="1">
      <alignment horizontal="right" vertical="center" wrapText="1"/>
    </xf>
    <xf numFmtId="0" fontId="14" fillId="0" borderId="58" xfId="0" applyFont="1" applyBorder="1"/>
    <xf numFmtId="168" fontId="34" fillId="0" borderId="58" xfId="0" applyNumberFormat="1" applyFont="1" applyBorder="1" applyAlignment="1">
      <alignment horizontal="right"/>
    </xf>
    <xf numFmtId="164" fontId="0" fillId="0" borderId="59" xfId="0" applyNumberFormat="1" applyBorder="1"/>
    <xf numFmtId="165" fontId="14" fillId="0" borderId="61" xfId="0" applyNumberFormat="1" applyFont="1" applyBorder="1"/>
    <xf numFmtId="164" fontId="0" fillId="0" borderId="61" xfId="0" applyNumberFormat="1" applyBorder="1"/>
    <xf numFmtId="0" fontId="47" fillId="0" borderId="61" xfId="0" applyFont="1" applyFill="1" applyBorder="1" applyAlignment="1">
      <alignment horizontal="right" vertical="center" wrapText="1"/>
    </xf>
    <xf numFmtId="0" fontId="14" fillId="0" borderId="63" xfId="0" applyFont="1" applyBorder="1"/>
    <xf numFmtId="168" fontId="34" fillId="0" borderId="63" xfId="0" applyNumberFormat="1" applyFont="1" applyBorder="1" applyAlignment="1">
      <alignment horizontal="right"/>
    </xf>
    <xf numFmtId="164" fontId="0" fillId="0" borderId="64" xfId="0" applyNumberFormat="1" applyBorder="1"/>
    <xf numFmtId="0" fontId="24" fillId="0" borderId="57" xfId="0" applyFont="1" applyBorder="1" applyAlignment="1">
      <alignment horizontal="left"/>
    </xf>
    <xf numFmtId="0" fontId="2" fillId="0" borderId="62" xfId="0" applyFont="1" applyFill="1" applyBorder="1"/>
    <xf numFmtId="0" fontId="14" fillId="0" borderId="0" xfId="0" applyFont="1" applyBorder="1" applyAlignment="1">
      <alignment horizontal="left"/>
    </xf>
    <xf numFmtId="2" fontId="14" fillId="0" borderId="0" xfId="0" applyNumberFormat="1" applyFont="1" applyBorder="1" applyAlignment="1">
      <alignment horizontal="left"/>
    </xf>
    <xf numFmtId="0" fontId="14" fillId="0" borderId="56" xfId="0" applyFont="1" applyFill="1" applyBorder="1"/>
    <xf numFmtId="0" fontId="4" fillId="6" borderId="0" xfId="0" applyFont="1" applyFill="1" applyAlignment="1">
      <alignment vertical="center" readingOrder="1"/>
    </xf>
    <xf numFmtId="6" fontId="14" fillId="0" borderId="52" xfId="0" applyNumberFormat="1" applyFont="1" applyBorder="1" applyAlignment="1">
      <alignment vertical="center"/>
    </xf>
    <xf numFmtId="0" fontId="3" fillId="0" borderId="51" xfId="0" applyFont="1" applyBorder="1"/>
    <xf numFmtId="0" fontId="3" fillId="0" borderId="53" xfId="0" applyFont="1" applyBorder="1"/>
    <xf numFmtId="8" fontId="3" fillId="0" borderId="53" xfId="0" applyNumberFormat="1" applyFont="1" applyBorder="1"/>
    <xf numFmtId="6" fontId="24" fillId="0" borderId="52" xfId="0" applyNumberFormat="1" applyFont="1" applyBorder="1" applyAlignment="1">
      <alignment vertical="center"/>
    </xf>
    <xf numFmtId="10" fontId="14" fillId="0" borderId="0" xfId="0" applyNumberFormat="1" applyFont="1" applyFill="1" applyBorder="1" applyAlignment="1">
      <alignment horizontal="center" vertical="center"/>
    </xf>
    <xf numFmtId="0" fontId="24" fillId="0" borderId="60" xfId="0" applyFont="1" applyBorder="1"/>
    <xf numFmtId="0" fontId="14" fillId="0" borderId="0" xfId="0" applyFont="1"/>
    <xf numFmtId="0" fontId="24" fillId="0" borderId="51" xfId="0" applyFont="1" applyBorder="1" applyAlignment="1">
      <alignment wrapText="1"/>
    </xf>
    <xf numFmtId="0" fontId="24" fillId="0" borderId="53" xfId="0" applyFont="1" applyBorder="1" applyAlignment="1">
      <alignment wrapText="1"/>
    </xf>
    <xf numFmtId="0" fontId="24" fillId="0" borderId="52" xfId="0" applyFont="1" applyBorder="1" applyAlignment="1">
      <alignment wrapText="1"/>
    </xf>
    <xf numFmtId="6" fontId="14" fillId="0" borderId="61" xfId="0" applyNumberFormat="1" applyFont="1" applyBorder="1" applyAlignment="1">
      <alignment horizontal="left"/>
    </xf>
    <xf numFmtId="0" fontId="14" fillId="0" borderId="57" xfId="0" applyFont="1" applyBorder="1"/>
    <xf numFmtId="0" fontId="14" fillId="0" borderId="59" xfId="0" applyFont="1" applyBorder="1"/>
    <xf numFmtId="0" fontId="14" fillId="0" borderId="64" xfId="0" applyFont="1" applyBorder="1"/>
    <xf numFmtId="6" fontId="14" fillId="0" borderId="64" xfId="0" applyNumberFormat="1" applyFont="1" applyBorder="1" applyAlignment="1">
      <alignment horizontal="left"/>
    </xf>
    <xf numFmtId="6" fontId="14" fillId="0" borderId="0" xfId="0" applyNumberFormat="1" applyFont="1" applyBorder="1" applyAlignment="1">
      <alignment horizontal="left"/>
    </xf>
    <xf numFmtId="0" fontId="24" fillId="0" borderId="0" xfId="0" applyFont="1"/>
    <xf numFmtId="0" fontId="24" fillId="0" borderId="91" xfId="0" applyFont="1" applyBorder="1"/>
    <xf numFmtId="0" fontId="14" fillId="0" borderId="91" xfId="0" applyFont="1" applyBorder="1"/>
    <xf numFmtId="6" fontId="14" fillId="0" borderId="0" xfId="0" applyNumberFormat="1" applyFont="1" applyAlignment="1">
      <alignment horizontal="left"/>
    </xf>
    <xf numFmtId="6" fontId="14" fillId="0" borderId="91" xfId="0" applyNumberFormat="1" applyFont="1" applyBorder="1"/>
    <xf numFmtId="6" fontId="14" fillId="0" borderId="0" xfId="0" applyNumberFormat="1" applyFont="1"/>
    <xf numFmtId="6" fontId="14" fillId="0" borderId="91" xfId="0" applyNumberFormat="1" applyFont="1" applyBorder="1" applyAlignment="1">
      <alignment wrapText="1"/>
    </xf>
    <xf numFmtId="0" fontId="14" fillId="0" borderId="0" xfId="0" applyFont="1" applyFill="1" applyBorder="1" applyAlignment="1">
      <alignment textRotation="90"/>
    </xf>
    <xf numFmtId="0" fontId="2" fillId="0" borderId="0" xfId="0" applyFont="1" applyFill="1" applyAlignment="1"/>
    <xf numFmtId="166" fontId="14" fillId="0" borderId="58" xfId="0" applyNumberFormat="1" applyFont="1" applyFill="1" applyBorder="1" applyAlignment="1">
      <alignment horizontal="left"/>
    </xf>
    <xf numFmtId="9" fontId="14" fillId="0" borderId="0" xfId="0" applyNumberFormat="1" applyFont="1" applyFill="1" applyBorder="1"/>
    <xf numFmtId="8" fontId="14" fillId="0" borderId="0" xfId="0" applyNumberFormat="1" applyFont="1" applyFill="1" applyBorder="1" applyAlignment="1">
      <alignment horizontal="center" vertical="center" textRotation="90"/>
    </xf>
    <xf numFmtId="0" fontId="14" fillId="0" borderId="51" xfId="0" applyFont="1" applyBorder="1" applyAlignment="1">
      <alignment wrapText="1"/>
    </xf>
    <xf numFmtId="2" fontId="14" fillId="0" borderId="53" xfId="0" applyNumberFormat="1" applyFont="1" applyBorder="1"/>
    <xf numFmtId="6" fontId="14" fillId="0" borderId="52" xfId="0" applyNumberFormat="1" applyFont="1" applyBorder="1" applyAlignment="1">
      <alignment horizontal="left" wrapText="1"/>
    </xf>
    <xf numFmtId="0" fontId="14" fillId="0" borderId="61" xfId="0" applyFont="1" applyFill="1" applyBorder="1"/>
    <xf numFmtId="9" fontId="14" fillId="0" borderId="64" xfId="0" applyNumberFormat="1" applyFont="1" applyFill="1" applyBorder="1"/>
    <xf numFmtId="0" fontId="24" fillId="0" borderId="57" xfId="0" applyFont="1" applyFill="1" applyBorder="1" applyAlignment="1">
      <alignment wrapText="1"/>
    </xf>
    <xf numFmtId="0" fontId="24" fillId="0" borderId="57" xfId="0" applyFont="1" applyFill="1" applyBorder="1"/>
    <xf numFmtId="0" fontId="14" fillId="0" borderId="62" xfId="0" applyFont="1" applyFill="1" applyBorder="1"/>
    <xf numFmtId="0" fontId="24" fillId="0" borderId="59" xfId="0" applyFont="1" applyFill="1" applyBorder="1" applyAlignment="1">
      <alignment wrapText="1"/>
    </xf>
    <xf numFmtId="0" fontId="14" fillId="0" borderId="55" xfId="0" applyFont="1" applyFill="1" applyBorder="1" applyAlignment="1">
      <alignment vertical="center" wrapText="1"/>
    </xf>
    <xf numFmtId="0" fontId="2" fillId="0" borderId="56" xfId="0" applyFont="1" applyFill="1" applyBorder="1"/>
    <xf numFmtId="0" fontId="14" fillId="0" borderId="55" xfId="0" applyFont="1" applyFill="1" applyBorder="1" applyAlignment="1">
      <alignment horizontal="center"/>
    </xf>
    <xf numFmtId="0" fontId="2" fillId="6" borderId="59" xfId="0" applyFont="1" applyFill="1" applyBorder="1"/>
    <xf numFmtId="0" fontId="24" fillId="0" borderId="115" xfId="0" applyFont="1" applyFill="1" applyBorder="1" applyAlignment="1">
      <alignment wrapText="1"/>
    </xf>
    <xf numFmtId="0" fontId="24" fillId="0" borderId="116" xfId="0" applyFont="1" applyFill="1" applyBorder="1" applyAlignment="1">
      <alignment wrapText="1"/>
    </xf>
    <xf numFmtId="0" fontId="2" fillId="0" borderId="116" xfId="0" applyFont="1" applyFill="1" applyBorder="1"/>
    <xf numFmtId="0" fontId="2" fillId="0" borderId="117" xfId="0" applyFont="1" applyFill="1" applyBorder="1"/>
    <xf numFmtId="0" fontId="2" fillId="0" borderId="118" xfId="0" applyFont="1" applyFill="1" applyBorder="1"/>
    <xf numFmtId="0" fontId="2" fillId="0" borderId="119" xfId="0" applyFont="1" applyFill="1" applyBorder="1"/>
    <xf numFmtId="0" fontId="2" fillId="0" borderId="120" xfId="0" applyFont="1" applyFill="1" applyBorder="1"/>
    <xf numFmtId="0" fontId="14" fillId="0" borderId="0" xfId="0" applyFont="1" applyBorder="1" applyAlignment="1">
      <alignment horizontal="center" vertical="center"/>
    </xf>
    <xf numFmtId="0" fontId="14" fillId="0" borderId="19" xfId="0" applyFont="1" applyBorder="1" applyAlignment="1">
      <alignment horizontal="left" vertical="center"/>
    </xf>
    <xf numFmtId="6" fontId="2" fillId="0" borderId="63" xfId="0" applyNumberFormat="1" applyFont="1" applyBorder="1" applyAlignment="1">
      <alignment vertical="center"/>
    </xf>
    <xf numFmtId="0" fontId="14" fillId="6" borderId="62" xfId="0" applyFont="1" applyFill="1" applyBorder="1" applyAlignment="1"/>
    <xf numFmtId="0" fontId="14" fillId="0" borderId="51" xfId="0" applyFont="1" applyFill="1" applyBorder="1" applyAlignment="1"/>
    <xf numFmtId="0" fontId="14" fillId="0" borderId="52" xfId="0" applyFont="1" applyFill="1" applyBorder="1"/>
    <xf numFmtId="0" fontId="14" fillId="0" borderId="60" xfId="0" applyFont="1" applyFill="1" applyBorder="1" applyAlignment="1"/>
    <xf numFmtId="0" fontId="14" fillId="0" borderId="62" xfId="0" applyFont="1" applyFill="1" applyBorder="1" applyAlignment="1"/>
    <xf numFmtId="6" fontId="14" fillId="0" borderId="61" xfId="0" applyNumberFormat="1" applyFont="1" applyFill="1" applyBorder="1"/>
    <xf numFmtId="6" fontId="14" fillId="0" borderId="64" xfId="0" applyNumberFormat="1" applyFont="1" applyFill="1" applyBorder="1"/>
    <xf numFmtId="0" fontId="14" fillId="6" borderId="57" xfId="0" applyFont="1" applyFill="1" applyBorder="1" applyAlignment="1"/>
    <xf numFmtId="0" fontId="14" fillId="6" borderId="59" xfId="0" applyFont="1" applyFill="1" applyBorder="1"/>
    <xf numFmtId="167" fontId="14" fillId="6" borderId="61" xfId="0" applyNumberFormat="1" applyFont="1" applyFill="1" applyBorder="1" applyAlignment="1">
      <alignment horizontal="left"/>
    </xf>
    <xf numFmtId="6" fontId="14" fillId="6" borderId="59" xfId="0" applyNumberFormat="1" applyFont="1" applyFill="1" applyBorder="1"/>
    <xf numFmtId="6" fontId="14" fillId="6" borderId="64" xfId="0" applyNumberFormat="1" applyFont="1" applyFill="1" applyBorder="1"/>
    <xf numFmtId="0" fontId="24" fillId="0" borderId="60" xfId="0" applyFont="1" applyBorder="1" applyAlignment="1">
      <alignment horizontal="left" vertical="center"/>
    </xf>
    <xf numFmtId="0" fontId="24" fillId="6" borderId="0" xfId="0" applyFont="1" applyFill="1" applyBorder="1" applyAlignment="1"/>
    <xf numFmtId="169" fontId="14" fillId="0" borderId="53" xfId="0" applyNumberFormat="1" applyFont="1" applyBorder="1"/>
    <xf numFmtId="6" fontId="14" fillId="0" borderId="52" xfId="0" applyNumberFormat="1" applyFont="1" applyBorder="1" applyAlignment="1">
      <alignment horizontal="left"/>
    </xf>
    <xf numFmtId="0" fontId="24" fillId="0" borderId="63" xfId="0" applyFont="1" applyBorder="1"/>
    <xf numFmtId="6" fontId="14" fillId="0" borderId="63" xfId="0" applyNumberFormat="1" applyFont="1" applyBorder="1" applyAlignment="1">
      <alignment horizontal="left"/>
    </xf>
    <xf numFmtId="167" fontId="14" fillId="6" borderId="62" xfId="0" applyNumberFormat="1" applyFont="1" applyFill="1" applyBorder="1" applyAlignment="1"/>
    <xf numFmtId="0" fontId="24" fillId="6" borderId="57" xfId="0" applyFont="1" applyFill="1" applyBorder="1" applyAlignment="1"/>
    <xf numFmtId="0" fontId="14" fillId="8" borderId="105" xfId="0" applyFont="1" applyFill="1" applyBorder="1"/>
    <xf numFmtId="0" fontId="14" fillId="6" borderId="75" xfId="0" applyFont="1" applyFill="1" applyBorder="1" applyAlignment="1">
      <alignment horizontal="left" vertical="center" wrapText="1"/>
    </xf>
    <xf numFmtId="2" fontId="14" fillId="8" borderId="86" xfId="0" applyNumberFormat="1" applyFont="1" applyFill="1" applyBorder="1"/>
    <xf numFmtId="0" fontId="14" fillId="0" borderId="121" xfId="0" applyFont="1" applyFill="1" applyBorder="1" applyAlignment="1">
      <alignment wrapText="1"/>
    </xf>
    <xf numFmtId="2" fontId="14" fillId="8" borderId="121" xfId="0" applyNumberFormat="1" applyFont="1" applyFill="1" applyBorder="1"/>
    <xf numFmtId="0" fontId="14" fillId="0" borderId="121" xfId="0" applyFont="1" applyFill="1" applyBorder="1"/>
    <xf numFmtId="0" fontId="14" fillId="6" borderId="0" xfId="0" applyFont="1" applyFill="1" applyBorder="1" applyAlignment="1">
      <alignment wrapText="1"/>
    </xf>
    <xf numFmtId="2" fontId="14" fillId="6" borderId="0" xfId="0" applyNumberFormat="1" applyFont="1" applyFill="1" applyBorder="1"/>
    <xf numFmtId="164" fontId="14" fillId="0" borderId="15" xfId="0" applyNumberFormat="1" applyFont="1" applyFill="1" applyBorder="1"/>
    <xf numFmtId="0" fontId="14" fillId="2" borderId="60" xfId="0" applyFont="1" applyFill="1" applyBorder="1" applyAlignment="1"/>
    <xf numFmtId="0" fontId="2" fillId="2" borderId="0" xfId="0" applyFont="1" applyFill="1" applyBorder="1"/>
    <xf numFmtId="0" fontId="22" fillId="2" borderId="0" xfId="0" applyFont="1" applyFill="1" applyBorder="1"/>
    <xf numFmtId="10" fontId="2" fillId="2" borderId="0" xfId="0" applyNumberFormat="1" applyFont="1" applyFill="1" applyBorder="1" applyAlignment="1">
      <alignment vertical="center"/>
    </xf>
    <xf numFmtId="10" fontId="2" fillId="2" borderId="61" xfId="0" applyNumberFormat="1" applyFont="1" applyFill="1" applyBorder="1" applyAlignment="1">
      <alignment vertical="center"/>
    </xf>
    <xf numFmtId="0" fontId="14" fillId="2" borderId="62" xfId="0" applyFont="1" applyFill="1" applyBorder="1" applyAlignment="1"/>
    <xf numFmtId="0" fontId="2" fillId="2" borderId="63" xfId="0" applyFont="1" applyFill="1" applyBorder="1"/>
    <xf numFmtId="0" fontId="22" fillId="2" borderId="63" xfId="0" applyFont="1" applyFill="1" applyBorder="1"/>
    <xf numFmtId="10" fontId="2" fillId="2" borderId="63" xfId="0" applyNumberFormat="1" applyFont="1" applyFill="1" applyBorder="1" applyAlignment="1">
      <alignment vertical="center"/>
    </xf>
    <xf numFmtId="10" fontId="2" fillId="2" borderId="64" xfId="0" applyNumberFormat="1" applyFont="1" applyFill="1" applyBorder="1" applyAlignment="1">
      <alignment vertical="center"/>
    </xf>
    <xf numFmtId="0" fontId="26" fillId="0" borderId="0" xfId="0" applyFont="1" applyFill="1" applyBorder="1" applyAlignment="1">
      <alignment horizontal="center" wrapText="1"/>
    </xf>
    <xf numFmtId="0" fontId="26" fillId="6" borderId="15" xfId="0" applyFont="1" applyFill="1" applyBorder="1" applyAlignment="1">
      <alignment horizontal="center" wrapText="1"/>
    </xf>
    <xf numFmtId="0" fontId="14" fillId="0" borderId="113" xfId="0" applyFont="1" applyBorder="1" applyAlignment="1">
      <alignment wrapText="1"/>
    </xf>
    <xf numFmtId="168" fontId="34" fillId="0" borderId="52" xfId="0" applyNumberFormat="1" applyFont="1" applyBorder="1" applyAlignment="1">
      <alignment horizontal="left"/>
    </xf>
    <xf numFmtId="0" fontId="2" fillId="2" borderId="61" xfId="0" applyFont="1" applyFill="1" applyBorder="1"/>
    <xf numFmtId="0" fontId="2" fillId="2" borderId="64" xfId="0" applyFont="1" applyFill="1" applyBorder="1"/>
    <xf numFmtId="0" fontId="14" fillId="6" borderId="60" xfId="0" applyFont="1" applyFill="1" applyBorder="1"/>
    <xf numFmtId="168" fontId="34" fillId="6" borderId="0" xfId="0" applyNumberFormat="1" applyFont="1" applyFill="1" applyBorder="1" applyAlignment="1">
      <alignment horizontal="left"/>
    </xf>
    <xf numFmtId="0" fontId="14" fillId="0" borderId="52" xfId="0" applyFont="1" applyFill="1" applyBorder="1" applyAlignment="1">
      <alignment wrapText="1"/>
    </xf>
    <xf numFmtId="168" fontId="34" fillId="0" borderId="52" xfId="0" applyNumberFormat="1" applyFont="1" applyFill="1" applyBorder="1" applyAlignment="1">
      <alignment horizontal="right"/>
    </xf>
    <xf numFmtId="0" fontId="24" fillId="0" borderId="57" xfId="0" applyFont="1" applyBorder="1" applyAlignment="1">
      <alignment wrapText="1"/>
    </xf>
    <xf numFmtId="0" fontId="14" fillId="0" borderId="58" xfId="0" applyFont="1" applyBorder="1" applyAlignment="1">
      <alignment wrapText="1"/>
    </xf>
    <xf numFmtId="0" fontId="24" fillId="0" borderId="58" xfId="0" applyFont="1" applyFill="1" applyBorder="1" applyAlignment="1">
      <alignment horizontal="left" wrapText="1"/>
    </xf>
    <xf numFmtId="0" fontId="24" fillId="0" borderId="58" xfId="0" applyFont="1" applyBorder="1" applyAlignment="1">
      <alignment horizontal="left" wrapText="1"/>
    </xf>
    <xf numFmtId="0" fontId="21" fillId="6" borderId="57" xfId="0" applyFont="1" applyFill="1" applyBorder="1" applyAlignment="1">
      <alignment vertical="center"/>
    </xf>
    <xf numFmtId="0" fontId="15" fillId="6" borderId="58" xfId="0" applyFont="1" applyFill="1" applyBorder="1" applyAlignment="1">
      <alignment vertical="center"/>
    </xf>
    <xf numFmtId="9" fontId="15" fillId="6" borderId="58" xfId="0" applyNumberFormat="1" applyFont="1" applyFill="1" applyBorder="1"/>
    <xf numFmtId="0" fontId="2" fillId="6" borderId="62" xfId="0" applyFont="1" applyFill="1" applyBorder="1"/>
    <xf numFmtId="0" fontId="24" fillId="6" borderId="63" xfId="0" applyFont="1" applyFill="1" applyBorder="1" applyAlignment="1">
      <alignment horizontal="right"/>
    </xf>
    <xf numFmtId="1" fontId="24" fillId="6" borderId="63" xfId="0" applyNumberFormat="1" applyFont="1" applyFill="1" applyBorder="1" applyAlignment="1">
      <alignment horizontal="left"/>
    </xf>
    <xf numFmtId="0" fontId="42" fillId="0" borderId="62" xfId="0" applyFont="1" applyBorder="1"/>
    <xf numFmtId="0" fontId="4" fillId="0" borderId="0" xfId="0" applyFont="1" applyFill="1" applyBorder="1" applyAlignment="1">
      <alignment horizontal="center"/>
    </xf>
    <xf numFmtId="0" fontId="24" fillId="0" borderId="28" xfId="0" applyNumberFormat="1" applyFont="1" applyFill="1" applyBorder="1" applyAlignment="1">
      <alignment horizontal="center" wrapText="1"/>
    </xf>
    <xf numFmtId="167" fontId="32" fillId="0" borderId="0" xfId="0" applyNumberFormat="1" applyFont="1" applyBorder="1" applyAlignment="1">
      <alignment horizontal="center" vertical="center"/>
    </xf>
    <xf numFmtId="164" fontId="15" fillId="0" borderId="91" xfId="0" applyNumberFormat="1" applyFont="1" applyBorder="1"/>
    <xf numFmtId="0" fontId="26" fillId="6" borderId="90" xfId="0" applyFont="1" applyFill="1" applyBorder="1" applyAlignment="1"/>
    <xf numFmtId="0" fontId="14" fillId="4" borderId="4" xfId="0" applyFont="1" applyFill="1" applyBorder="1" applyAlignment="1">
      <alignment horizontal="left" vertical="center" wrapText="1"/>
    </xf>
    <xf numFmtId="0" fontId="14" fillId="4" borderId="0"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 fillId="2" borderId="14"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4" fillId="5" borderId="4" xfId="0" applyFont="1" applyFill="1" applyBorder="1" applyAlignment="1">
      <alignment horizontal="left" vertical="center" wrapText="1"/>
    </xf>
    <xf numFmtId="0" fontId="14" fillId="5" borderId="0" xfId="0" applyFont="1" applyFill="1" applyBorder="1" applyAlignment="1">
      <alignment horizontal="left" vertical="center" wrapText="1"/>
    </xf>
    <xf numFmtId="0" fontId="14" fillId="5" borderId="5" xfId="0" applyFont="1" applyFill="1" applyBorder="1" applyAlignment="1">
      <alignment horizontal="left" vertical="center" wrapText="1"/>
    </xf>
    <xf numFmtId="0" fontId="15" fillId="5" borderId="4" xfId="0" applyFont="1" applyFill="1" applyBorder="1" applyAlignment="1">
      <alignment horizontal="left" vertical="center" wrapText="1"/>
    </xf>
    <xf numFmtId="0" fontId="15" fillId="5" borderId="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9" fillId="0" borderId="4" xfId="0" applyFont="1" applyBorder="1" applyAlignment="1">
      <alignment horizontal="left" vertical="center" wrapText="1"/>
    </xf>
    <xf numFmtId="0" fontId="19" fillId="0" borderId="0" xfId="0" applyFont="1" applyBorder="1" applyAlignment="1">
      <alignment horizontal="left" vertical="center" wrapText="1"/>
    </xf>
    <xf numFmtId="0" fontId="19" fillId="0" borderId="5" xfId="0" applyFont="1" applyBorder="1" applyAlignment="1">
      <alignment horizontal="left" vertical="center" wrapText="1"/>
    </xf>
    <xf numFmtId="0" fontId="3" fillId="0" borderId="111" xfId="0" applyFont="1" applyFill="1" applyBorder="1" applyAlignment="1">
      <alignment horizontal="left" vertical="center" wrapText="1"/>
    </xf>
    <xf numFmtId="0" fontId="3" fillId="0" borderId="97"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5" xfId="0" applyFont="1" applyFill="1" applyBorder="1" applyAlignment="1">
      <alignment horizontal="left" vertical="center" wrapText="1"/>
    </xf>
    <xf numFmtId="0" fontId="19" fillId="6" borderId="0" xfId="0" applyFont="1" applyFill="1" applyBorder="1" applyAlignment="1">
      <alignment horizontal="left" vertical="center"/>
    </xf>
    <xf numFmtId="0" fontId="19" fillId="6" borderId="5" xfId="0" applyFont="1" applyFill="1" applyBorder="1" applyAlignment="1">
      <alignment horizontal="left" vertical="center"/>
    </xf>
    <xf numFmtId="0" fontId="14" fillId="0" borderId="87"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4" fillId="0" borderId="20" xfId="0" applyFont="1" applyFill="1" applyBorder="1" applyAlignment="1">
      <alignment horizontal="left" vertical="center" wrapText="1"/>
    </xf>
    <xf numFmtId="0" fontId="14" fillId="0" borderId="122" xfId="0" applyFont="1" applyFill="1" applyBorder="1" applyAlignment="1">
      <alignment horizontal="left" vertical="center" wrapText="1"/>
    </xf>
    <xf numFmtId="0" fontId="3" fillId="7" borderId="0" xfId="0" applyFont="1" applyFill="1" applyBorder="1" applyAlignment="1">
      <alignment horizontal="center"/>
    </xf>
    <xf numFmtId="0" fontId="3" fillId="7" borderId="4" xfId="0" applyFont="1" applyFill="1" applyBorder="1" applyAlignment="1">
      <alignment horizontal="center"/>
    </xf>
    <xf numFmtId="0" fontId="3" fillId="7" borderId="5" xfId="0" applyFont="1" applyFill="1" applyBorder="1" applyAlignment="1">
      <alignment horizontal="center"/>
    </xf>
    <xf numFmtId="0" fontId="6" fillId="0" borderId="101" xfId="0" applyFont="1" applyFill="1" applyBorder="1" applyAlignment="1">
      <alignment horizontal="center" vertical="center"/>
    </xf>
    <xf numFmtId="0" fontId="6" fillId="0" borderId="102" xfId="0" applyFont="1" applyFill="1" applyBorder="1" applyAlignment="1">
      <alignment horizontal="center" vertical="center"/>
    </xf>
    <xf numFmtId="0" fontId="14" fillId="2" borderId="4"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3" fillId="2" borderId="4" xfId="0" applyFont="1" applyFill="1" applyBorder="1" applyAlignment="1">
      <alignment horizontal="left" vertical="center"/>
    </xf>
    <xf numFmtId="0" fontId="3" fillId="2" borderId="0" xfId="0" applyFont="1" applyFill="1" applyBorder="1" applyAlignment="1">
      <alignment horizontal="left" vertical="center"/>
    </xf>
    <xf numFmtId="0" fontId="3" fillId="2" borderId="5" xfId="0" applyFont="1" applyFill="1" applyBorder="1" applyAlignment="1">
      <alignment horizontal="left" vertical="center"/>
    </xf>
    <xf numFmtId="0" fontId="14" fillId="6" borderId="75" xfId="0" applyFont="1" applyFill="1" applyBorder="1" applyAlignment="1">
      <alignment horizontal="left" vertical="center" wrapText="1"/>
    </xf>
    <xf numFmtId="0" fontId="14" fillId="6" borderId="73" xfId="0" applyFont="1" applyFill="1" applyBorder="1" applyAlignment="1">
      <alignment horizontal="left" vertical="center" wrapText="1"/>
    </xf>
    <xf numFmtId="0" fontId="14" fillId="6" borderId="74" xfId="0" applyFont="1" applyFill="1" applyBorder="1" applyAlignment="1">
      <alignment horizontal="left" vertical="center" wrapText="1"/>
    </xf>
    <xf numFmtId="0" fontId="14" fillId="6" borderId="75" xfId="0" applyFont="1" applyFill="1" applyBorder="1" applyAlignment="1">
      <alignment horizontal="left" wrapText="1"/>
    </xf>
    <xf numFmtId="0" fontId="14" fillId="6" borderId="73" xfId="0" applyFont="1" applyFill="1" applyBorder="1" applyAlignment="1">
      <alignment horizontal="left" wrapText="1"/>
    </xf>
    <xf numFmtId="0" fontId="14" fillId="6" borderId="74" xfId="0" applyFont="1" applyFill="1" applyBorder="1" applyAlignment="1">
      <alignment horizontal="left" wrapText="1"/>
    </xf>
    <xf numFmtId="0" fontId="14" fillId="6" borderId="79" xfId="0" applyFont="1" applyFill="1" applyBorder="1" applyAlignment="1">
      <alignment horizontal="left" wrapText="1"/>
    </xf>
    <xf numFmtId="0" fontId="14" fillId="6" borderId="15" xfId="0" applyFont="1" applyFill="1" applyBorder="1" applyAlignment="1">
      <alignment horizontal="left" wrapText="1"/>
    </xf>
    <xf numFmtId="0" fontId="14" fillId="6" borderId="20" xfId="0" applyFont="1" applyFill="1" applyBorder="1" applyAlignment="1">
      <alignment horizontal="left" wrapText="1"/>
    </xf>
    <xf numFmtId="0" fontId="21" fillId="2" borderId="4" xfId="0" applyFont="1" applyFill="1" applyBorder="1" applyAlignment="1">
      <alignment horizontal="left" vertical="center" wrapText="1"/>
    </xf>
    <xf numFmtId="0" fontId="21" fillId="2" borderId="0"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3" fillId="2" borderId="4" xfId="0" applyFont="1" applyFill="1" applyBorder="1" applyAlignment="1">
      <alignment horizontal="center"/>
    </xf>
    <xf numFmtId="0" fontId="3" fillId="2" borderId="5" xfId="0" applyFont="1" applyFill="1" applyBorder="1" applyAlignment="1">
      <alignment horizontal="center"/>
    </xf>
    <xf numFmtId="0" fontId="15" fillId="6" borderId="75" xfId="0" applyFont="1" applyFill="1" applyBorder="1" applyAlignment="1">
      <alignment horizontal="left" vertical="center" wrapText="1"/>
    </xf>
    <xf numFmtId="0" fontId="15" fillId="6" borderId="73" xfId="0" applyFont="1" applyFill="1" applyBorder="1" applyAlignment="1">
      <alignment horizontal="left" vertical="center" wrapText="1"/>
    </xf>
    <xf numFmtId="0" fontId="15" fillId="6" borderId="74"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5" xfId="0" applyFont="1" applyFill="1" applyBorder="1" applyAlignment="1">
      <alignment horizontal="left" vertical="center" wrapText="1"/>
    </xf>
    <xf numFmtId="0" fontId="14" fillId="6" borderId="84" xfId="0" applyFont="1" applyFill="1" applyBorder="1" applyAlignment="1">
      <alignment horizontal="left" vertical="center" wrapText="1"/>
    </xf>
    <xf numFmtId="0" fontId="14" fillId="6" borderId="86" xfId="0" applyFont="1" applyFill="1" applyBorder="1" applyAlignment="1">
      <alignment horizontal="left" vertical="center" wrapText="1"/>
    </xf>
    <xf numFmtId="0" fontId="14" fillId="6" borderId="87" xfId="0" applyFont="1" applyFill="1" applyBorder="1" applyAlignment="1">
      <alignment horizontal="left" vertical="center" wrapText="1"/>
    </xf>
    <xf numFmtId="0" fontId="14" fillId="6" borderId="79" xfId="0" applyFont="1" applyFill="1" applyBorder="1" applyAlignment="1">
      <alignment horizontal="left" vertical="center" wrapText="1"/>
    </xf>
    <xf numFmtId="0" fontId="14" fillId="6" borderId="15" xfId="0" applyFont="1" applyFill="1" applyBorder="1" applyAlignment="1">
      <alignment horizontal="left" vertical="center" wrapText="1"/>
    </xf>
    <xf numFmtId="0" fontId="14" fillId="6" borderId="20" xfId="0" applyFont="1" applyFill="1" applyBorder="1" applyAlignment="1">
      <alignment horizontal="left" vertical="center" wrapText="1"/>
    </xf>
    <xf numFmtId="0" fontId="1" fillId="2" borderId="65" xfId="0" applyFont="1" applyFill="1" applyBorder="1" applyAlignment="1">
      <alignment horizontal="center" wrapText="1"/>
    </xf>
    <xf numFmtId="0" fontId="1" fillId="2" borderId="66" xfId="0" applyFont="1" applyFill="1" applyBorder="1" applyAlignment="1">
      <alignment horizontal="center" wrapText="1"/>
    </xf>
    <xf numFmtId="0" fontId="1" fillId="2" borderId="67" xfId="0" applyFont="1" applyFill="1" applyBorder="1" applyAlignment="1">
      <alignment horizontal="center" wrapText="1"/>
    </xf>
    <xf numFmtId="0" fontId="1" fillId="6" borderId="35" xfId="0" applyFont="1" applyFill="1" applyBorder="1" applyAlignment="1">
      <alignment horizontal="center" vertical="center"/>
    </xf>
    <xf numFmtId="0" fontId="1" fillId="6" borderId="36" xfId="0" applyFont="1" applyFill="1" applyBorder="1" applyAlignment="1">
      <alignment horizontal="center" vertical="center"/>
    </xf>
    <xf numFmtId="0" fontId="1" fillId="6" borderId="37" xfId="0" applyFont="1" applyFill="1" applyBorder="1" applyAlignment="1">
      <alignment horizontal="center" vertical="center"/>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14" fillId="2" borderId="123" xfId="0" applyFont="1" applyFill="1" applyBorder="1" applyAlignment="1">
      <alignment horizontal="left" wrapText="1"/>
    </xf>
    <xf numFmtId="0" fontId="14" fillId="2" borderId="124" xfId="0" applyFont="1" applyFill="1" applyBorder="1" applyAlignment="1">
      <alignment horizontal="left" wrapText="1"/>
    </xf>
    <xf numFmtId="0" fontId="14" fillId="2" borderId="125" xfId="0" applyFont="1" applyFill="1" applyBorder="1" applyAlignment="1">
      <alignment horizontal="left" wrapText="1"/>
    </xf>
    <xf numFmtId="0" fontId="14" fillId="0" borderId="0" xfId="0" applyFont="1" applyBorder="1" applyAlignment="1">
      <alignment horizontal="center" vertical="center"/>
    </xf>
    <xf numFmtId="6" fontId="14" fillId="0" borderId="0" xfId="0" applyNumberFormat="1" applyFont="1" applyBorder="1" applyAlignment="1">
      <alignment horizontal="center" vertical="center"/>
    </xf>
    <xf numFmtId="0" fontId="1" fillId="2" borderId="68" xfId="0" applyFont="1" applyFill="1" applyBorder="1" applyAlignment="1">
      <alignment horizontal="left" wrapText="1"/>
    </xf>
    <xf numFmtId="0" fontId="1" fillId="2" borderId="0" xfId="0" applyFont="1" applyFill="1" applyBorder="1" applyAlignment="1">
      <alignment horizontal="left" wrapText="1"/>
    </xf>
    <xf numFmtId="0" fontId="22" fillId="0" borderId="62" xfId="0" applyFont="1" applyBorder="1" applyAlignment="1">
      <alignment horizontal="left" vertical="center" wrapText="1"/>
    </xf>
    <xf numFmtId="0" fontId="22" fillId="0" borderId="63" xfId="0" applyFont="1" applyBorder="1" applyAlignment="1">
      <alignment horizontal="left" vertical="center" wrapText="1"/>
    </xf>
    <xf numFmtId="167" fontId="14" fillId="0" borderId="54" xfId="0" applyNumberFormat="1" applyFont="1" applyBorder="1" applyAlignment="1">
      <alignment horizontal="center" vertical="center"/>
    </xf>
    <xf numFmtId="167" fontId="14" fillId="0" borderId="56" xfId="0" applyNumberFormat="1" applyFont="1" applyBorder="1" applyAlignment="1">
      <alignment horizontal="center" vertical="center"/>
    </xf>
    <xf numFmtId="0" fontId="14" fillId="0" borderId="60" xfId="0" applyFont="1" applyBorder="1" applyAlignment="1">
      <alignment horizontal="center" vertical="center"/>
    </xf>
    <xf numFmtId="8" fontId="14" fillId="0" borderId="0" xfId="0" applyNumberFormat="1" applyFont="1" applyBorder="1" applyAlignment="1">
      <alignment horizontal="center" vertical="center"/>
    </xf>
    <xf numFmtId="0" fontId="24" fillId="0" borderId="0" xfId="0" applyFont="1" applyBorder="1" applyAlignment="1">
      <alignment horizontal="center" vertical="center"/>
    </xf>
    <xf numFmtId="167" fontId="14" fillId="0" borderId="0" xfId="0" applyNumberFormat="1" applyFont="1" applyBorder="1" applyAlignment="1">
      <alignment horizontal="center" vertical="center"/>
    </xf>
    <xf numFmtId="0" fontId="14" fillId="0" borderId="60" xfId="0" applyFont="1" applyBorder="1" applyAlignment="1">
      <alignment horizontal="center" vertical="center" wrapText="1"/>
    </xf>
    <xf numFmtId="0" fontId="14" fillId="0" borderId="0" xfId="0" applyFont="1" applyBorder="1" applyAlignment="1">
      <alignment horizontal="center" vertical="center" wrapText="1"/>
    </xf>
    <xf numFmtId="8" fontId="14" fillId="0" borderId="60" xfId="0" applyNumberFormat="1" applyFont="1" applyBorder="1" applyAlignment="1">
      <alignment horizontal="center" vertical="center"/>
    </xf>
    <xf numFmtId="0" fontId="14" fillId="0" borderId="60" xfId="0" applyFont="1" applyFill="1" applyBorder="1" applyAlignment="1">
      <alignment horizontal="center" vertical="center" textRotation="90"/>
    </xf>
    <xf numFmtId="0" fontId="14" fillId="0" borderId="91" xfId="0" applyFont="1" applyBorder="1" applyAlignment="1">
      <alignment horizontal="left" wrapText="1"/>
    </xf>
    <xf numFmtId="0" fontId="14" fillId="0" borderId="60" xfId="0" applyFont="1" applyFill="1" applyBorder="1" applyAlignment="1">
      <alignment horizontal="left"/>
    </xf>
    <xf numFmtId="0" fontId="14" fillId="0" borderId="0" xfId="0" applyFont="1" applyFill="1" applyBorder="1" applyAlignment="1">
      <alignment horizontal="left"/>
    </xf>
    <xf numFmtId="10" fontId="14" fillId="0" borderId="0" xfId="0" applyNumberFormat="1" applyFont="1" applyFill="1" applyBorder="1" applyAlignment="1">
      <alignment horizontal="center" vertical="center"/>
    </xf>
    <xf numFmtId="0" fontId="14" fillId="0" borderId="57" xfId="0" applyFont="1" applyFill="1" applyBorder="1" applyAlignment="1">
      <alignment horizontal="center" textRotation="90"/>
    </xf>
    <xf numFmtId="0" fontId="14" fillId="0" borderId="60" xfId="0" applyFont="1" applyFill="1" applyBorder="1" applyAlignment="1">
      <alignment horizontal="center" textRotation="90"/>
    </xf>
    <xf numFmtId="0" fontId="14" fillId="0" borderId="62" xfId="0" applyFont="1" applyFill="1" applyBorder="1" applyAlignment="1">
      <alignment horizontal="center" textRotation="90"/>
    </xf>
    <xf numFmtId="8" fontId="14" fillId="0" borderId="0" xfId="0" applyNumberFormat="1" applyFont="1" applyFill="1" applyBorder="1" applyAlignment="1">
      <alignment horizontal="center" vertical="center" textRotation="90"/>
    </xf>
    <xf numFmtId="0" fontId="14" fillId="0" borderId="58" xfId="0" applyFont="1" applyFill="1" applyBorder="1" applyAlignment="1">
      <alignment horizontal="left" wrapText="1"/>
    </xf>
    <xf numFmtId="0" fontId="14" fillId="0" borderId="0" xfId="0" applyFont="1" applyFill="1" applyBorder="1" applyAlignment="1">
      <alignment horizontal="left" wrapText="1"/>
    </xf>
    <xf numFmtId="8" fontId="14" fillId="0" borderId="54" xfId="0" applyNumberFormat="1" applyFont="1" applyFill="1" applyBorder="1" applyAlignment="1">
      <alignment horizontal="center" vertical="center" textRotation="90"/>
    </xf>
    <xf numFmtId="8" fontId="14" fillId="0" borderId="55" xfId="0" applyNumberFormat="1" applyFont="1" applyFill="1" applyBorder="1" applyAlignment="1">
      <alignment horizontal="center" vertical="center" textRotation="90"/>
    </xf>
    <xf numFmtId="8" fontId="14" fillId="0" borderId="56" xfId="0" applyNumberFormat="1" applyFont="1" applyFill="1" applyBorder="1" applyAlignment="1">
      <alignment horizontal="center" vertical="center" textRotation="90"/>
    </xf>
    <xf numFmtId="0" fontId="14" fillId="0" borderId="0" xfId="0" applyFont="1" applyFill="1" applyBorder="1" applyAlignment="1">
      <alignment horizontal="center" vertical="center"/>
    </xf>
    <xf numFmtId="0" fontId="14" fillId="0" borderId="0" xfId="0" applyFont="1" applyFill="1" applyBorder="1" applyAlignment="1">
      <alignment horizontal="center" vertical="center" textRotation="90" wrapText="1"/>
    </xf>
    <xf numFmtId="0" fontId="24" fillId="0" borderId="51" xfId="0" applyFont="1" applyBorder="1" applyAlignment="1">
      <alignment horizontal="left"/>
    </xf>
    <xf numFmtId="0" fontId="24" fillId="0" borderId="52" xfId="0" applyFont="1" applyBorder="1" applyAlignment="1">
      <alignment horizontal="left"/>
    </xf>
  </cellXfs>
  <cellStyles count="5">
    <cellStyle name="Currency" xfId="2" builtinId="4"/>
    <cellStyle name="Currency 2" xfId="4" xr:uid="{62CDFB83-5FC2-489C-ADA4-CD20ABA5B9B1}"/>
    <cellStyle name="Hyperlink" xfId="1" builtinId="8"/>
    <cellStyle name="Hyperlink 2" xfId="3" xr:uid="{7081DF07-B585-4769-AD0F-BD369CA73298}"/>
    <cellStyle name="Normal" xfId="0" builtinId="0"/>
  </cellStyles>
  <dxfs count="0"/>
  <tableStyles count="0" defaultTableStyle="TableStyleMedium2" defaultPivotStyle="PivotStyleLight16"/>
  <colors>
    <mruColors>
      <color rgb="FFD3E7C7"/>
      <color rgb="FFC8E1B9"/>
      <color rgb="FF008AF2"/>
      <color rgb="FF4970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Metropolitan Water District - Real treated water rates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1"/>
        <c:ser>
          <c:idx val="0"/>
          <c:order val="0"/>
          <c:spPr>
            <a:ln w="25400">
              <a:noFill/>
            </a:ln>
          </c:spPr>
          <c:marker>
            <c:symbol val="circle"/>
            <c:size val="5"/>
            <c:spPr>
              <a:solidFill>
                <a:schemeClr val="accent2">
                  <a:lumMod val="75000"/>
                </a:schemeClr>
              </a:solidFill>
              <a:ln>
                <a:solidFill>
                  <a:schemeClr val="accent2">
                    <a:lumMod val="75000"/>
                  </a:schemeClr>
                </a:solidFill>
              </a:ln>
            </c:spPr>
          </c:marker>
          <c:dPt>
            <c:idx val="0"/>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1-6C6D-43FB-8FC9-48A78B715072}"/>
              </c:ext>
            </c:extLst>
          </c:dPt>
          <c:dPt>
            <c:idx val="1"/>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3-6C6D-43FB-8FC9-48A78B715072}"/>
              </c:ext>
            </c:extLst>
          </c:dPt>
          <c:dPt>
            <c:idx val="2"/>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5-6C6D-43FB-8FC9-48A78B715072}"/>
              </c:ext>
            </c:extLst>
          </c:dPt>
          <c:dPt>
            <c:idx val="3"/>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7-6C6D-43FB-8FC9-48A78B715072}"/>
              </c:ext>
            </c:extLst>
          </c:dPt>
          <c:dPt>
            <c:idx val="4"/>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9-6C6D-43FB-8FC9-48A78B715072}"/>
              </c:ext>
            </c:extLst>
          </c:dPt>
          <c:dPt>
            <c:idx val="5"/>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B-6C6D-43FB-8FC9-48A78B715072}"/>
              </c:ext>
            </c:extLst>
          </c:dPt>
          <c:dPt>
            <c:idx val="6"/>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D-6C6D-43FB-8FC9-48A78B715072}"/>
              </c:ext>
            </c:extLst>
          </c:dPt>
          <c:dPt>
            <c:idx val="7"/>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F-6C6D-43FB-8FC9-48A78B715072}"/>
              </c:ext>
            </c:extLst>
          </c:dPt>
          <c:dPt>
            <c:idx val="8"/>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11-6C6D-43FB-8FC9-48A78B715072}"/>
              </c:ext>
            </c:extLst>
          </c:dPt>
          <c:dPt>
            <c:idx val="9"/>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13-6C6D-43FB-8FC9-48A78B715072}"/>
              </c:ext>
            </c:extLst>
          </c:dPt>
          <c:dPt>
            <c:idx val="10"/>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15-6C6D-43FB-8FC9-48A78B715072}"/>
              </c:ext>
            </c:extLst>
          </c:dPt>
          <c:dPt>
            <c:idx val="11"/>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17-8A07-4DBD-8FA1-0B18BAEBD4D1}"/>
              </c:ext>
            </c:extLst>
          </c:dPt>
          <c:dPt>
            <c:idx val="12"/>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19-8A07-4DBD-8FA1-0B18BAEBD4D1}"/>
              </c:ext>
            </c:extLst>
          </c:dPt>
          <c:xVal>
            <c:numRef>
              <c:f>CollectedData_References!$A$21:$A$33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xVal>
          <c:yVal>
            <c:numRef>
              <c:f>CollectedData_References!$D$21:$D$33</c:f>
              <c:numCache>
                <c:formatCode>0.0</c:formatCode>
                <c:ptCount val="13"/>
                <c:pt idx="0">
                  <c:v>549.80316756450895</c:v>
                </c:pt>
                <c:pt idx="1">
                  <c:v>645.65838553657795</c:v>
                </c:pt>
                <c:pt idx="2">
                  <c:v>763.37482353351277</c:v>
                </c:pt>
                <c:pt idx="3">
                  <c:v>773.94712306872657</c:v>
                </c:pt>
                <c:pt idx="4">
                  <c:v>810.16482948204987</c:v>
                </c:pt>
                <c:pt idx="5">
                  <c:v>865.47818668469222</c:v>
                </c:pt>
                <c:pt idx="6">
                  <c:v>907.05768812527185</c:v>
                </c:pt>
                <c:pt idx="7">
                  <c:v>959.78994230555861</c:v>
                </c:pt>
                <c:pt idx="8">
                  <c:v>991.92848716364256</c:v>
                </c:pt>
                <c:pt idx="9">
                  <c:v>1016.6177586713129</c:v>
                </c:pt>
                <c:pt idx="10">
                  <c:v>1028.6035001027215</c:v>
                </c:pt>
                <c:pt idx="11">
                  <c:v>1050</c:v>
                </c:pt>
                <c:pt idx="12">
                  <c:v>1078.0793699234705</c:v>
                </c:pt>
              </c:numCache>
            </c:numRef>
          </c:yVal>
          <c:smooth val="0"/>
          <c:extLst>
            <c:ext xmlns:c16="http://schemas.microsoft.com/office/drawing/2014/chart" uri="{C3380CC4-5D6E-409C-BE32-E72D297353CC}">
              <c16:uniqueId val="{00000032-6C6D-43FB-8FC9-48A78B715072}"/>
            </c:ext>
          </c:extLst>
        </c:ser>
        <c:dLbls>
          <c:showLegendKey val="0"/>
          <c:showVal val="0"/>
          <c:showCatName val="0"/>
          <c:showSerName val="0"/>
          <c:showPercent val="0"/>
          <c:showBubbleSize val="0"/>
        </c:dLbls>
        <c:axId val="-762953296"/>
        <c:axId val="-762955472"/>
      </c:scatterChart>
      <c:valAx>
        <c:axId val="-762953296"/>
        <c:scaling>
          <c:orientation val="minMax"/>
          <c:max val="2020"/>
          <c:min val="2006"/>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2955472"/>
        <c:crosses val="autoZero"/>
        <c:crossBetween val="midCat"/>
        <c:majorUnit val="2"/>
      </c:valAx>
      <c:valAx>
        <c:axId val="-762955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Dollars per acre-foot</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29532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2619375</xdr:colOff>
      <xdr:row>0</xdr:row>
      <xdr:rowOff>85724</xdr:rowOff>
    </xdr:from>
    <xdr:to>
      <xdr:col>1</xdr:col>
      <xdr:colOff>4524375</xdr:colOff>
      <xdr:row>5</xdr:row>
      <xdr:rowOff>76199</xdr:rowOff>
    </xdr:to>
    <xdr:pic>
      <xdr:nvPicPr>
        <xdr:cNvPr id="2" name="TNin3mvmEriTWM:" descr="Image result for state water resources control board logo">
          <a:extLst>
            <a:ext uri="{FF2B5EF4-FFF2-40B4-BE49-F238E27FC236}">
              <a16:creationId xmlns:a16="http://schemas.microsoft.com/office/drawing/2014/main" id="{CF8F9585-33DB-4F10-8CF4-857B697C824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7500" b="19000"/>
        <a:stretch/>
      </xdr:blipFill>
      <xdr:spPr bwMode="auto">
        <a:xfrm>
          <a:off x="5581650" y="85724"/>
          <a:ext cx="1905000"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9524</xdr:colOff>
      <xdr:row>5</xdr:row>
      <xdr:rowOff>9525</xdr:rowOff>
    </xdr:from>
    <xdr:ext cx="4261104" cy="857250"/>
    <xdr:sp macro="" textlink="">
      <xdr:nvSpPr>
        <xdr:cNvPr id="2" name="TextBox 1">
          <a:extLst>
            <a:ext uri="{FF2B5EF4-FFF2-40B4-BE49-F238E27FC236}">
              <a16:creationId xmlns:a16="http://schemas.microsoft.com/office/drawing/2014/main" id="{A736CF65-84BF-4B10-8AD8-0C038A6312A7}"/>
            </a:ext>
          </a:extLst>
        </xdr:cNvPr>
        <xdr:cNvSpPr txBox="1"/>
      </xdr:nvSpPr>
      <xdr:spPr>
        <a:xfrm>
          <a:off x="7886699" y="1743075"/>
          <a:ext cx="4261104" cy="85725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200" baseline="0">
              <a:latin typeface="Arial" panose="020B0604020202020204" pitchFamily="34" charset="0"/>
              <a:cs typeface="Arial" panose="020B0604020202020204" pitchFamily="34" charset="0"/>
            </a:rPr>
            <a:t>If there is no net benefit for additional interventions towards active leak detection and repair by the supplier, the volumetric standard remains the same as the current leakage level.</a:t>
          </a:r>
          <a:endParaRPr lang="en-US" sz="1200">
            <a:latin typeface="Arial" panose="020B0604020202020204" pitchFamily="34" charset="0"/>
            <a:cs typeface="Arial" panose="020B0604020202020204"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2</xdr:row>
      <xdr:rowOff>252859</xdr:rowOff>
    </xdr:from>
    <xdr:ext cx="7026732" cy="1033016"/>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BF6BD00C-A4DD-4D4C-99E2-752887D746B0}"/>
                </a:ext>
              </a:extLst>
            </xdr:cNvPr>
            <xdr:cNvSpPr txBox="1"/>
          </xdr:nvSpPr>
          <xdr:spPr>
            <a:xfrm>
              <a:off x="2676525" y="881509"/>
              <a:ext cx="7026732" cy="10330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left"/>
                  </m:oMathParaPr>
                  <m:oMath xmlns:m="http://schemas.openxmlformats.org/officeDocument/2006/math">
                    <m:d>
                      <m:dPr>
                        <m:ctrlPr>
                          <a:rPr lang="en-US" sz="1100" b="0" i="1">
                            <a:latin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0.2</m:t>
                        </m:r>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Total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length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mains</m:t>
                        </m:r>
                        <m:r>
                          <a:rPr lang="en-US" sz="1100" b="0" i="0">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r>
                              <m:rPr>
                                <m:sty m:val="p"/>
                              </m:rPr>
                              <a:rPr lang="en-US" sz="1100" b="0" i="0">
                                <a:solidFill>
                                  <a:schemeClr val="tx1"/>
                                </a:solidFill>
                                <a:effectLst/>
                                <a:latin typeface="Cambria Math" panose="02040503050406030204" pitchFamily="18" charset="0"/>
                                <a:ea typeface="+mn-ea"/>
                                <a:cs typeface="+mn-cs"/>
                              </a:rPr>
                              <m:t>miles</m:t>
                            </m:r>
                          </m:e>
                        </m:d>
                        <m:r>
                          <a:rPr lang="en-US" sz="1100" b="0" i="0">
                            <a:solidFill>
                              <a:schemeClr val="tx1"/>
                            </a:solidFill>
                            <a:effectLst/>
                            <a:latin typeface="Cambria Math" panose="02040503050406030204" pitchFamily="18" charset="0"/>
                            <a:ea typeface="+mn-ea"/>
                            <a:cs typeface="+mn-cs"/>
                          </a:rPr>
                          <m:t>+0.008</m:t>
                        </m:r>
                        <m:r>
                          <a:rPr lang="en-US" sz="1100" b="0" i="1">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Number</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service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connections</m:t>
                        </m:r>
                      </m:e>
                    </m:d>
                    <m:r>
                      <a:rPr lang="en-US" sz="1100" b="0" i="1">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m:rPr>
                                    <m:sty m:val="p"/>
                                  </m:rPr>
                                  <a:rPr lang="en-US" sz="1100" b="0" i="0">
                                    <a:solidFill>
                                      <a:schemeClr val="tx1"/>
                                    </a:solidFill>
                                    <a:effectLst/>
                                    <a:latin typeface="Cambria Math" panose="02040503050406030204" pitchFamily="18" charset="0"/>
                                    <a:ea typeface="+mn-ea"/>
                                    <a:cs typeface="+mn-cs"/>
                                  </a:rPr>
                                  <m:t>Average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operational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pressure</m:t>
                                </m:r>
                              </m:num>
                              <m:den>
                                <m:r>
                                  <a:rPr lang="en-US" sz="1100" b="0" i="1">
                                    <a:solidFill>
                                      <a:schemeClr val="tx1"/>
                                    </a:solidFill>
                                    <a:effectLst/>
                                    <a:latin typeface="Cambria Math" panose="02040503050406030204" pitchFamily="18" charset="0"/>
                                    <a:ea typeface="+mn-ea"/>
                                    <a:cs typeface="+mn-cs"/>
                                  </a:rPr>
                                  <m:t>70</m:t>
                                </m:r>
                              </m:den>
                            </m:f>
                          </m:e>
                        </m:d>
                      </m:e>
                      <m:sup>
                        <m:r>
                          <a:rPr lang="en-US" sz="1100" b="0" i="1">
                            <a:latin typeface="Cambria Math" panose="02040503050406030204" pitchFamily="18" charset="0"/>
                            <a:ea typeface="Cambria Math" panose="02040503050406030204" pitchFamily="18" charset="0"/>
                          </a:rPr>
                          <m:t>1.5</m:t>
                        </m:r>
                      </m:sup>
                    </m:sSup>
                  </m:oMath>
                </m:oMathPara>
              </a14:m>
              <a:endParaRPr lang="en-US" sz="1100" b="0" i="1">
                <a:latin typeface="Cambria Math" panose="02040503050406030204" pitchFamily="18" charset="0"/>
                <a:ea typeface="Cambria Math" panose="02040503050406030204" pitchFamily="18" charset="0"/>
              </a:endParaRPr>
            </a:p>
            <a:p>
              <a:pPr/>
              <a14:m>
                <m:oMathPara xmlns:m="http://schemas.openxmlformats.org/officeDocument/2006/math">
                  <m:oMathParaPr>
                    <m:jc m:val="left"/>
                  </m:oMathParaPr>
                  <m:oMath xmlns:m="http://schemas.openxmlformats.org/officeDocument/2006/math">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Infrastructure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Condition</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Factor</m:t>
                    </m:r>
                  </m:oMath>
                </m:oMathPara>
              </a14:m>
              <a:endParaRPr lang="en-US" sz="1100" b="0" i="0">
                <a:latin typeface="Cambria Math" panose="02040503050406030204" pitchFamily="18" charset="0"/>
                <a:ea typeface="Cambria Math" panose="02040503050406030204" pitchFamily="18" charset="0"/>
              </a:endParaRPr>
            </a:p>
            <a:p>
              <a:pPr/>
              <a14:m>
                <m:oMathPara xmlns:m="http://schemas.openxmlformats.org/officeDocument/2006/math">
                  <m:oMathParaPr>
                    <m:jc m:val="left"/>
                  </m:oMathParaPr>
                  <m:oMath xmlns:m="http://schemas.openxmlformats.org/officeDocument/2006/math">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1000 </m:t>
                        </m:r>
                        <m:r>
                          <m:rPr>
                            <m:sty m:val="p"/>
                          </m:rPr>
                          <a:rPr lang="en-US" sz="1100" b="0" i="0">
                            <a:latin typeface="Cambria Math" panose="02040503050406030204" pitchFamily="18" charset="0"/>
                            <a:ea typeface="Cambria Math" panose="02040503050406030204" pitchFamily="18" charset="0"/>
                          </a:rPr>
                          <m:t>gallons</m:t>
                        </m:r>
                      </m:num>
                      <m:den>
                        <m:r>
                          <a:rPr lang="en-US" sz="1100" b="0" i="0">
                            <a:latin typeface="Cambria Math" panose="02040503050406030204" pitchFamily="18" charset="0"/>
                            <a:ea typeface="Cambria Math" panose="02040503050406030204" pitchFamily="18" charset="0"/>
                          </a:rPr>
                          <m:t>325851 </m:t>
                        </m:r>
                        <m:r>
                          <m:rPr>
                            <m:sty m:val="p"/>
                          </m:rPr>
                          <a:rPr lang="en-US" sz="1100" b="0" i="0">
                            <a:latin typeface="Cambria Math" panose="02040503050406030204" pitchFamily="18" charset="0"/>
                            <a:ea typeface="Cambria Math" panose="02040503050406030204" pitchFamily="18" charset="0"/>
                          </a:rPr>
                          <m:t>acrefeet</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365 </m:t>
                        </m:r>
                        <m:r>
                          <m:rPr>
                            <m:sty m:val="p"/>
                          </m:rPr>
                          <a:rPr lang="en-US" sz="1100" b="0" i="0">
                            <a:latin typeface="Cambria Math" panose="02040503050406030204" pitchFamily="18" charset="0"/>
                            <a:ea typeface="Cambria Math" panose="02040503050406030204" pitchFamily="18" charset="0"/>
                          </a:rPr>
                          <m:t>days</m:t>
                        </m:r>
                      </m:num>
                      <m:den>
                        <m:r>
                          <m:rPr>
                            <m:sty m:val="p"/>
                          </m:rPr>
                          <a:rPr lang="en-US" sz="1100" b="0" i="0">
                            <a:latin typeface="Cambria Math" panose="02040503050406030204" pitchFamily="18" charset="0"/>
                            <a:ea typeface="Cambria Math" panose="02040503050406030204" pitchFamily="18" charset="0"/>
                          </a:rPr>
                          <m:t>year</m:t>
                        </m:r>
                      </m:den>
                    </m:f>
                  </m:oMath>
                </m:oMathPara>
              </a14:m>
              <a:endParaRPr lang="en-US" sz="1100" i="0"/>
            </a:p>
          </xdr:txBody>
        </xdr:sp>
      </mc:Choice>
      <mc:Fallback xmlns="">
        <xdr:sp macro="" textlink="">
          <xdr:nvSpPr>
            <xdr:cNvPr id="10" name="TextBox 9">
              <a:extLst>
                <a:ext uri="{FF2B5EF4-FFF2-40B4-BE49-F238E27FC236}">
                  <a16:creationId xmlns:a16="http://schemas.microsoft.com/office/drawing/2014/main" id="{BF6BD00C-A4DD-4D4C-99E2-752887D746B0}"/>
                </a:ext>
              </a:extLst>
            </xdr:cNvPr>
            <xdr:cNvSpPr txBox="1"/>
          </xdr:nvSpPr>
          <xdr:spPr>
            <a:xfrm>
              <a:off x="2676525" y="881509"/>
              <a:ext cx="7026732" cy="10330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0.2×Total length of mains (miles)+0.008×Number of service connections)</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((Average operational pressure)/70)</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1.5</a:t>
              </a:r>
              <a:endParaRPr lang="en-US" sz="1100" b="0" i="1">
                <a:latin typeface="Cambria Math" panose="02040503050406030204" pitchFamily="18" charset="0"/>
                <a:ea typeface="Cambria Math" panose="02040503050406030204" pitchFamily="18" charset="0"/>
              </a:endParaRPr>
            </a:p>
            <a:p>
              <a:pPr/>
              <a:r>
                <a:rPr lang="en-US" sz="1100" b="0" i="0">
                  <a:latin typeface="Cambria Math" panose="02040503050406030204" pitchFamily="18" charset="0"/>
                  <a:ea typeface="Cambria Math" panose="02040503050406030204" pitchFamily="18" charset="0"/>
                </a:rPr>
                <a:t>×Infrastructure Condition Factor</a:t>
              </a:r>
            </a:p>
            <a:p>
              <a:pPr/>
              <a:r>
                <a:rPr lang="en-US" sz="1100" b="0" i="0">
                  <a:latin typeface="Cambria Math" panose="02040503050406030204" pitchFamily="18" charset="0"/>
                  <a:ea typeface="Cambria Math" panose="02040503050406030204" pitchFamily="18" charset="0"/>
                </a:rPr>
                <a:t>×(1000 gallons)/(325851 acrefeet)×(365 days)/year</a:t>
              </a:r>
              <a:endParaRPr lang="en-US" sz="1100" i="0"/>
            </a:p>
          </xdr:txBody>
        </xdr:sp>
      </mc:Fallback>
    </mc:AlternateContent>
    <xdr:clientData/>
  </xdr:oneCellAnchor>
  <xdr:oneCellAnchor>
    <xdr:from>
      <xdr:col>1</xdr:col>
      <xdr:colOff>57150</xdr:colOff>
      <xdr:row>4</xdr:row>
      <xdr:rowOff>76200</xdr:rowOff>
    </xdr:from>
    <xdr:ext cx="6754157" cy="351506"/>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2ECDF4E1-44A1-47A5-92D7-B70A8F31111F}"/>
                </a:ext>
              </a:extLst>
            </xdr:cNvPr>
            <xdr:cNvSpPr txBox="1"/>
          </xdr:nvSpPr>
          <xdr:spPr>
            <a:xfrm>
              <a:off x="2686050" y="1876425"/>
              <a:ext cx="6754157"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Group"/>
                  </m:oMathParaPr>
                  <m:oMath xmlns:m="http://schemas.openxmlformats.org/officeDocument/2006/math">
                    <m:f>
                      <m:fPr>
                        <m:ctrlPr>
                          <a:rPr lang="en-US" sz="1100" b="0" i="1">
                            <a:latin typeface="Cambria Math" panose="02040503050406030204" pitchFamily="18" charset="0"/>
                          </a:rPr>
                        </m:ctrlPr>
                      </m:fPr>
                      <m:num>
                        <m:r>
                          <a:rPr lang="en-US" sz="1100" b="0" i="0">
                            <a:latin typeface="Cambria Math" panose="02040503050406030204" pitchFamily="18" charset="0"/>
                          </a:rPr>
                          <m:t>50 </m:t>
                        </m:r>
                        <m:r>
                          <m:rPr>
                            <m:sty m:val="p"/>
                          </m:rPr>
                          <a:rPr lang="en-US" sz="1100" b="0" i="0">
                            <a:latin typeface="Cambria Math" panose="02040503050406030204" pitchFamily="18" charset="0"/>
                          </a:rPr>
                          <m:t>gallons</m:t>
                        </m:r>
                        <m:r>
                          <a:rPr lang="en-US" sz="1100" b="0" i="0">
                            <a:latin typeface="Cambria Math" panose="02040503050406030204" pitchFamily="18" charset="0"/>
                          </a:rPr>
                          <m:t> </m:t>
                        </m:r>
                      </m:num>
                      <m:den>
                        <m:r>
                          <m:rPr>
                            <m:sty m:val="p"/>
                          </m:rPr>
                          <a:rPr lang="en-US" sz="1100" b="0" i="0">
                            <a:latin typeface="Cambria Math" panose="02040503050406030204" pitchFamily="18" charset="0"/>
                          </a:rPr>
                          <m:t>burst</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minute</m:t>
                        </m:r>
                      </m:den>
                    </m:f>
                    <m:r>
                      <a:rPr lang="en-US" sz="1100" b="0" i="0">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0">
                            <a:solidFill>
                              <a:schemeClr val="tx1"/>
                            </a:solidFill>
                            <a:effectLst/>
                            <a:latin typeface="Cambria Math" panose="02040503050406030204" pitchFamily="18" charset="0"/>
                            <a:ea typeface="+mn-ea"/>
                            <a:cs typeface="+mn-cs"/>
                          </a:rPr>
                          <m:t>1 </m:t>
                        </m:r>
                        <m:r>
                          <m:rPr>
                            <m:sty m:val="p"/>
                          </m:rPr>
                          <a:rPr lang="en-US" sz="1100" b="0" i="0">
                            <a:solidFill>
                              <a:schemeClr val="tx1"/>
                            </a:solidFill>
                            <a:effectLst/>
                            <a:latin typeface="Cambria Math" panose="02040503050406030204" pitchFamily="18" charset="0"/>
                            <a:ea typeface="+mn-ea"/>
                            <a:cs typeface="+mn-cs"/>
                          </a:rPr>
                          <m:t>acrefeet</m:t>
                        </m:r>
                      </m:num>
                      <m:den>
                        <m:r>
                          <a:rPr lang="en-US" sz="1100" b="0" i="0">
                            <a:solidFill>
                              <a:schemeClr val="tx1"/>
                            </a:solidFill>
                            <a:effectLst/>
                            <a:latin typeface="Cambria Math" panose="02040503050406030204" pitchFamily="18" charset="0"/>
                            <a:ea typeface="+mn-ea"/>
                            <a:cs typeface="+mn-cs"/>
                          </a:rPr>
                          <m:t>325,851 </m:t>
                        </m:r>
                        <m:r>
                          <m:rPr>
                            <m:sty m:val="p"/>
                          </m:rPr>
                          <a:rPr lang="en-US" sz="1100" b="0" i="0">
                            <a:solidFill>
                              <a:schemeClr val="tx1"/>
                            </a:solidFill>
                            <a:effectLst/>
                            <a:latin typeface="Cambria Math" panose="02040503050406030204" pitchFamily="18" charset="0"/>
                            <a:ea typeface="+mn-ea"/>
                            <a:cs typeface="+mn-cs"/>
                          </a:rPr>
                          <m:t>gallons</m:t>
                        </m:r>
                      </m:den>
                    </m:f>
                    <m:r>
                      <a:rPr lang="en-US" sz="1100" b="0" i="0">
                        <a:solidFill>
                          <a:schemeClr val="tx1"/>
                        </a:solidFill>
                        <a:effectLst/>
                        <a:latin typeface="Cambria Math" panose="02040503050406030204" pitchFamily="18" charset="0"/>
                        <a:ea typeface="Cambria Math" panose="02040503050406030204" pitchFamily="18" charset="0"/>
                        <a:cs typeface="+mn-cs"/>
                      </a:rPr>
                      <m:t>×</m:t>
                    </m:r>
                    <m:f>
                      <m:fPr>
                        <m:ctrlPr>
                          <a:rPr lang="en-US" sz="1100" b="0" i="1">
                            <a:latin typeface="Cambria Math" panose="02040503050406030204" pitchFamily="18" charset="0"/>
                          </a:rPr>
                        </m:ctrlPr>
                      </m:fPr>
                      <m:num>
                        <m:r>
                          <a:rPr lang="en-US" sz="1100" b="0" i="0">
                            <a:latin typeface="Cambria Math" panose="02040503050406030204" pitchFamily="18" charset="0"/>
                          </a:rPr>
                          <m:t>0.2 </m:t>
                        </m:r>
                        <m:r>
                          <m:rPr>
                            <m:sty m:val="p"/>
                          </m:rPr>
                          <a:rPr lang="en-US" sz="1100" b="0" i="0">
                            <a:latin typeface="Cambria Math" panose="02040503050406030204" pitchFamily="18" charset="0"/>
                          </a:rPr>
                          <m:t>leaks</m:t>
                        </m:r>
                      </m:num>
                      <m:den>
                        <m:r>
                          <m:rPr>
                            <m:sty m:val="p"/>
                          </m:rPr>
                          <a:rPr lang="en-US" sz="1100" b="0" i="0">
                            <a:latin typeface="Cambria Math" panose="02040503050406030204" pitchFamily="18" charset="0"/>
                          </a:rPr>
                          <m:t>mile</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year</m:t>
                        </m:r>
                      </m:den>
                    </m:f>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Total</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length</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mains</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miles</m:t>
                    </m:r>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solidFill>
                              <a:schemeClr val="tx1"/>
                            </a:solidFill>
                            <a:effectLst/>
                            <a:latin typeface="Cambria Math" panose="02040503050406030204" pitchFamily="18" charset="0"/>
                            <a:ea typeface="+mn-ea"/>
                            <a:cs typeface="+mn-cs"/>
                          </a:rPr>
                          <m:t>60 </m:t>
                        </m:r>
                        <m:r>
                          <m:rPr>
                            <m:sty m:val="p"/>
                          </m:rPr>
                          <a:rPr lang="en-US" sz="1100" b="0" i="0">
                            <a:solidFill>
                              <a:schemeClr val="tx1"/>
                            </a:solidFill>
                            <a:effectLst/>
                            <a:latin typeface="Cambria Math" panose="02040503050406030204" pitchFamily="18" charset="0"/>
                            <a:ea typeface="+mn-ea"/>
                            <a:cs typeface="+mn-cs"/>
                          </a:rPr>
                          <m:t>minutes</m:t>
                        </m:r>
                      </m:num>
                      <m:den>
                        <m:r>
                          <m:rPr>
                            <m:sty m:val="p"/>
                          </m:rPr>
                          <a:rPr lang="en-US" sz="1100" b="0" i="0">
                            <a:solidFill>
                              <a:schemeClr val="tx1"/>
                            </a:solidFill>
                            <a:effectLst/>
                            <a:latin typeface="Cambria Math" panose="02040503050406030204" pitchFamily="18" charset="0"/>
                            <a:ea typeface="+mn-ea"/>
                            <a:cs typeface="+mn-cs"/>
                          </a:rPr>
                          <m:t>hour</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24 </m:t>
                        </m:r>
                        <m:r>
                          <m:rPr>
                            <m:sty m:val="p"/>
                          </m:rPr>
                          <a:rPr lang="en-US" sz="1100" b="0" i="0">
                            <a:latin typeface="Cambria Math" panose="02040503050406030204" pitchFamily="18" charset="0"/>
                            <a:ea typeface="Cambria Math" panose="02040503050406030204" pitchFamily="18" charset="0"/>
                          </a:rPr>
                          <m:t>hours</m:t>
                        </m:r>
                      </m:num>
                      <m:den>
                        <m:r>
                          <m:rPr>
                            <m:sty m:val="p"/>
                          </m:rPr>
                          <a:rPr lang="en-US" sz="1100" b="0" i="0">
                            <a:latin typeface="Cambria Math" panose="02040503050406030204" pitchFamily="18" charset="0"/>
                            <a:ea typeface="Cambria Math" panose="02040503050406030204" pitchFamily="18" charset="0"/>
                          </a:rPr>
                          <m:t>day</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3 </m:t>
                        </m:r>
                        <m:r>
                          <m:rPr>
                            <m:sty m:val="p"/>
                          </m:rPr>
                          <a:rPr lang="en-US" sz="1100" b="0" i="0">
                            <a:latin typeface="Cambria Math" panose="02040503050406030204" pitchFamily="18" charset="0"/>
                            <a:ea typeface="Cambria Math" panose="02040503050406030204" pitchFamily="18" charset="0"/>
                          </a:rPr>
                          <m:t>days</m:t>
                        </m:r>
                      </m:num>
                      <m:den>
                        <m:r>
                          <m:rPr>
                            <m:sty m:val="p"/>
                          </m:rPr>
                          <a:rPr lang="en-US" sz="1100" b="0" i="0">
                            <a:latin typeface="Cambria Math" panose="02040503050406030204" pitchFamily="18" charset="0"/>
                            <a:ea typeface="Cambria Math" panose="02040503050406030204" pitchFamily="18" charset="0"/>
                          </a:rPr>
                          <m:t>year</m:t>
                        </m:r>
                      </m:den>
                    </m:f>
                  </m:oMath>
                </m:oMathPara>
              </a14:m>
              <a:endParaRPr lang="en-US" sz="1100" i="0"/>
            </a:p>
          </xdr:txBody>
        </xdr:sp>
      </mc:Choice>
      <mc:Fallback xmlns="">
        <xdr:sp macro="" textlink="">
          <xdr:nvSpPr>
            <xdr:cNvPr id="11" name="TextBox 10">
              <a:extLst>
                <a:ext uri="{FF2B5EF4-FFF2-40B4-BE49-F238E27FC236}">
                  <a16:creationId xmlns:a16="http://schemas.microsoft.com/office/drawing/2014/main" id="{2ECDF4E1-44A1-47A5-92D7-B70A8F31111F}"/>
                </a:ext>
              </a:extLst>
            </xdr:cNvPr>
            <xdr:cNvSpPr txBox="1"/>
          </xdr:nvSpPr>
          <xdr:spPr>
            <a:xfrm>
              <a:off x="2686050" y="1876425"/>
              <a:ext cx="6754157"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n-US" sz="1100" b="0" i="0">
                  <a:latin typeface="Cambria Math" panose="02040503050406030204" pitchFamily="18" charset="0"/>
                </a:rPr>
                <a:t>(50 gallons )/(burst</a:t>
              </a:r>
              <a:r>
                <a:rPr lang="en-US" sz="1100" b="0" i="0">
                  <a:latin typeface="Cambria Math" panose="02040503050406030204" pitchFamily="18" charset="0"/>
                  <a:ea typeface="Cambria Math" panose="02040503050406030204" pitchFamily="18" charset="0"/>
                </a:rPr>
                <a:t>∙minute)×</a:t>
              </a:r>
              <a:r>
                <a:rPr lang="en-US" sz="1100" b="0" i="0">
                  <a:solidFill>
                    <a:schemeClr val="tx1"/>
                  </a:solidFill>
                  <a:effectLst/>
                  <a:latin typeface="Cambria Math" panose="02040503050406030204" pitchFamily="18" charset="0"/>
                  <a:ea typeface="+mn-ea"/>
                  <a:cs typeface="+mn-cs"/>
                </a:rPr>
                <a:t>(1 acrefeet)/(325,851 gallons)</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rPr>
                <a:t>(0.2 leaks)/(mile</a:t>
              </a:r>
              <a:r>
                <a:rPr lang="en-US" sz="1100" b="0" i="0">
                  <a:latin typeface="Cambria Math" panose="02040503050406030204" pitchFamily="18" charset="0"/>
                  <a:ea typeface="Cambria Math" panose="02040503050406030204" pitchFamily="18" charset="0"/>
                </a:rPr>
                <a:t>∙year)×Total length of mains (miles)×(</a:t>
              </a:r>
              <a:r>
                <a:rPr lang="en-US" sz="1100" b="0" i="0">
                  <a:solidFill>
                    <a:schemeClr val="tx1"/>
                  </a:solidFill>
                  <a:effectLst/>
                  <a:latin typeface="Cambria Math" panose="02040503050406030204" pitchFamily="18" charset="0"/>
                  <a:ea typeface="+mn-ea"/>
                  <a:cs typeface="+mn-cs"/>
                </a:rPr>
                <a:t>60 minutes</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hour</a:t>
              </a:r>
              <a:r>
                <a:rPr lang="en-US" sz="1100" b="0" i="0">
                  <a:latin typeface="Cambria Math" panose="02040503050406030204" pitchFamily="18" charset="0"/>
                  <a:ea typeface="Cambria Math" panose="02040503050406030204" pitchFamily="18" charset="0"/>
                </a:rPr>
                <a:t>×(24 hours)/day×(3 days)/year</a:t>
              </a:r>
              <a:endParaRPr lang="en-US" sz="1100" i="0"/>
            </a:p>
          </xdr:txBody>
        </xdr:sp>
      </mc:Fallback>
    </mc:AlternateContent>
    <xdr:clientData/>
  </xdr:oneCellAnchor>
  <xdr:oneCellAnchor>
    <xdr:from>
      <xdr:col>1</xdr:col>
      <xdr:colOff>104776</xdr:colOff>
      <xdr:row>5</xdr:row>
      <xdr:rowOff>9235</xdr:rowOff>
    </xdr:from>
    <xdr:ext cx="4781964" cy="396613"/>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5960EE2-CF00-48F5-B716-0795C5C7C976}"/>
                </a:ext>
              </a:extLst>
            </xdr:cNvPr>
            <xdr:cNvSpPr txBox="1"/>
          </xdr:nvSpPr>
          <xdr:spPr>
            <a:xfrm>
              <a:off x="2733676" y="2314285"/>
              <a:ext cx="4781964" cy="396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Para xmlns:m="http://schemas.openxmlformats.org/officeDocument/2006/math">
                  <m:oMathParaPr>
                    <m:jc m:val="left"/>
                  </m:oMathParaPr>
                  <m:oMath xmlns:m="http://schemas.openxmlformats.org/officeDocument/2006/math">
                    <m:r>
                      <m:rPr>
                        <m:sty m:val="p"/>
                      </m:rPr>
                      <a:rPr lang="en-US" sz="1100" b="0" i="0">
                        <a:latin typeface="Cambria Math" panose="02040503050406030204" pitchFamily="18" charset="0"/>
                      </a:rPr>
                      <m:t>Average</m:t>
                    </m:r>
                    <m:r>
                      <a:rPr lang="en-US" sz="1100" b="0" i="0">
                        <a:latin typeface="Cambria Math" panose="02040503050406030204" pitchFamily="18" charset="0"/>
                      </a:rPr>
                      <m:t> </m:t>
                    </m:r>
                    <m:r>
                      <m:rPr>
                        <m:sty m:val="p"/>
                      </m:rPr>
                      <a:rPr lang="en-US" sz="1100" b="0" i="0">
                        <a:latin typeface="Cambria Math" panose="02040503050406030204" pitchFamily="18" charset="0"/>
                      </a:rPr>
                      <m:t>baseline</m:t>
                    </m:r>
                    <m:r>
                      <a:rPr lang="en-US" sz="1100" b="0" i="0">
                        <a:latin typeface="Cambria Math" panose="02040503050406030204" pitchFamily="18" charset="0"/>
                      </a:rPr>
                      <m:t> </m:t>
                    </m:r>
                    <m:r>
                      <m:rPr>
                        <m:sty m:val="p"/>
                      </m:rPr>
                      <a:rPr lang="en-US" sz="1100" b="0" i="0">
                        <a:latin typeface="Cambria Math" panose="02040503050406030204" pitchFamily="18" charset="0"/>
                      </a:rPr>
                      <m:t>real</m:t>
                    </m:r>
                    <m:r>
                      <a:rPr lang="en-US" sz="1100" b="0" i="0">
                        <a:latin typeface="Cambria Math" panose="02040503050406030204" pitchFamily="18" charset="0"/>
                      </a:rPr>
                      <m:t> </m:t>
                    </m:r>
                    <m:r>
                      <m:rPr>
                        <m:sty m:val="p"/>
                      </m:rPr>
                      <a:rPr lang="en-US" sz="1100" b="0" i="0">
                        <a:latin typeface="Cambria Math" panose="02040503050406030204" pitchFamily="18" charset="0"/>
                      </a:rPr>
                      <m:t>loss</m:t>
                    </m:r>
                    <m:r>
                      <a:rPr lang="en-US" sz="1100" b="0" i="0">
                        <a:latin typeface="Cambria Math" panose="02040503050406030204" pitchFamily="18" charset="0"/>
                      </a:rPr>
                      <m:t>−</m:t>
                    </m:r>
                    <m:r>
                      <m:rPr>
                        <m:sty m:val="p"/>
                      </m:rPr>
                      <a:rPr lang="en-US" sz="1100" b="0" i="0">
                        <a:latin typeface="Cambria Math" panose="02040503050406030204" pitchFamily="18" charset="0"/>
                      </a:rPr>
                      <m:t>total</m:t>
                    </m:r>
                    <m:r>
                      <a:rPr lang="en-US" sz="1100" b="0" i="0">
                        <a:latin typeface="Cambria Math" panose="02040503050406030204" pitchFamily="18" charset="0"/>
                      </a:rPr>
                      <m:t> </m:t>
                    </m:r>
                    <m:r>
                      <m:rPr>
                        <m:sty m:val="p"/>
                      </m:rPr>
                      <a:rPr lang="en-US" sz="1100" b="0" i="0">
                        <a:latin typeface="Cambria Math" panose="02040503050406030204" pitchFamily="18" charset="0"/>
                      </a:rPr>
                      <m:t>background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reported</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leakage</m:t>
                    </m:r>
                  </m:oMath>
                </m:oMathPara>
              </a14:m>
              <a:endParaRPr lang="en-US" sz="1100" i="0"/>
            </a:p>
          </xdr:txBody>
        </xdr:sp>
      </mc:Choice>
      <mc:Fallback xmlns="">
        <xdr:sp macro="" textlink="">
          <xdr:nvSpPr>
            <xdr:cNvPr id="12" name="TextBox 11">
              <a:extLst>
                <a:ext uri="{FF2B5EF4-FFF2-40B4-BE49-F238E27FC236}">
                  <a16:creationId xmlns:a16="http://schemas.microsoft.com/office/drawing/2014/main" id="{15960EE2-CF00-48F5-B716-0795C5C7C976}"/>
                </a:ext>
              </a:extLst>
            </xdr:cNvPr>
            <xdr:cNvSpPr txBox="1"/>
          </xdr:nvSpPr>
          <xdr:spPr>
            <a:xfrm>
              <a:off x="2733676" y="2314285"/>
              <a:ext cx="4781964" cy="396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en-US" sz="1100" b="0" i="0">
                  <a:latin typeface="Cambria Math" panose="02040503050406030204" pitchFamily="18" charset="0"/>
                </a:rPr>
                <a:t>Average baseline real loss−total background leakage</a:t>
              </a:r>
              <a:r>
                <a:rPr lang="en-US" sz="1100" b="0" i="0">
                  <a:latin typeface="Cambria Math" panose="02040503050406030204" pitchFamily="18" charset="0"/>
                  <a:ea typeface="Cambria Math" panose="02040503050406030204" pitchFamily="18" charset="0"/>
                </a:rPr>
                <a:t>−reported leakage</a:t>
              </a:r>
              <a:endParaRPr lang="en-US" sz="1100" i="0"/>
            </a:p>
          </xdr:txBody>
        </xdr:sp>
      </mc:Fallback>
    </mc:AlternateContent>
    <xdr:clientData/>
  </xdr:oneCellAnchor>
  <xdr:oneCellAnchor>
    <xdr:from>
      <xdr:col>1</xdr:col>
      <xdr:colOff>114300</xdr:colOff>
      <xdr:row>6</xdr:row>
      <xdr:rowOff>1</xdr:rowOff>
    </xdr:from>
    <xdr:ext cx="6638925" cy="457200"/>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20CA321-C901-4E71-BE1B-4295EA1D7AED}"/>
                </a:ext>
              </a:extLst>
            </xdr:cNvPr>
            <xdr:cNvSpPr txBox="1"/>
          </xdr:nvSpPr>
          <xdr:spPr>
            <a:xfrm>
              <a:off x="2743200" y="2733676"/>
              <a:ext cx="6638925"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Para xmlns:m="http://schemas.openxmlformats.org/officeDocument/2006/math">
                  <m:oMathParaPr>
                    <m:jc m:val="left"/>
                  </m:oMathParaPr>
                  <m:oMath xmlns:m="http://schemas.openxmlformats.org/officeDocument/2006/math">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Unreported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component</m:t>
                        </m:r>
                      </m:num>
                      <m:den>
                        <m:r>
                          <a:rPr lang="en-US" sz="1100" b="0" i="0">
                            <a:latin typeface="Cambria Math" panose="02040503050406030204" pitchFamily="18" charset="0"/>
                          </a:rPr>
                          <m:t>(</m:t>
                        </m:r>
                        <m:r>
                          <m:rPr>
                            <m:sty m:val="p"/>
                          </m:rPr>
                          <a:rPr lang="en-US" sz="1100" b="0" i="0">
                            <a:latin typeface="Cambria Math" panose="02040503050406030204" pitchFamily="18" charset="0"/>
                          </a:rPr>
                          <m:t>Background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component</m:t>
                        </m:r>
                        <m:r>
                          <a:rPr lang="en-US" sz="1100" b="0" i="0">
                            <a:latin typeface="Cambria Math" panose="02040503050406030204" pitchFamily="18" charset="0"/>
                          </a:rPr>
                          <m:t>+</m:t>
                        </m:r>
                        <m:r>
                          <m:rPr>
                            <m:sty m:val="p"/>
                          </m:rPr>
                          <a:rPr lang="en-US" sz="1100" b="0" i="0">
                            <a:latin typeface="Cambria Math" panose="02040503050406030204" pitchFamily="18" charset="0"/>
                          </a:rPr>
                          <m:t>Reported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component</m:t>
                        </m:r>
                        <m:r>
                          <a:rPr lang="en-US" sz="1100" b="0" i="0">
                            <a:latin typeface="Cambria Math" panose="02040503050406030204" pitchFamily="18" charset="0"/>
                          </a:rPr>
                          <m:t>+</m:t>
                        </m:r>
                        <m:r>
                          <m:rPr>
                            <m:sty m:val="p"/>
                          </m:rPr>
                          <a:rPr lang="en-US" sz="1100" b="0" i="0">
                            <a:latin typeface="Cambria Math" panose="02040503050406030204" pitchFamily="18" charset="0"/>
                          </a:rPr>
                          <m:t>Unreported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component</m:t>
                        </m:r>
                        <m:r>
                          <a:rPr lang="en-US" sz="1100" b="0" i="0">
                            <a:latin typeface="Cambria Math" panose="02040503050406030204" pitchFamily="18" charset="0"/>
                          </a:rPr>
                          <m:t>)</m:t>
                        </m:r>
                      </m:den>
                    </m:f>
                  </m:oMath>
                </m:oMathPara>
              </a14:m>
              <a:endParaRPr lang="en-US" sz="1100" i="0"/>
            </a:p>
          </xdr:txBody>
        </xdr:sp>
      </mc:Choice>
      <mc:Fallback xmlns="">
        <xdr:sp macro="" textlink="">
          <xdr:nvSpPr>
            <xdr:cNvPr id="13" name="TextBox 12">
              <a:extLst>
                <a:ext uri="{FF2B5EF4-FFF2-40B4-BE49-F238E27FC236}">
                  <a16:creationId xmlns:a16="http://schemas.microsoft.com/office/drawing/2014/main" id="{020CA321-C901-4E71-BE1B-4295EA1D7AED}"/>
                </a:ext>
              </a:extLst>
            </xdr:cNvPr>
            <xdr:cNvSpPr txBox="1"/>
          </xdr:nvSpPr>
          <xdr:spPr>
            <a:xfrm>
              <a:off x="2743200" y="2733676"/>
              <a:ext cx="6638925"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en-US" sz="1100" b="0" i="0">
                  <a:latin typeface="Cambria Math" panose="02040503050406030204" pitchFamily="18" charset="0"/>
                </a:rPr>
                <a:t>(Unreported leakage component)/((Background leakage component+Reported leakage component+Unreported leakage component))</a:t>
              </a:r>
              <a:endParaRPr lang="en-US" sz="1100" i="0"/>
            </a:p>
          </xdr:txBody>
        </xdr:sp>
      </mc:Fallback>
    </mc:AlternateContent>
    <xdr:clientData/>
  </xdr:oneCellAnchor>
  <xdr:oneCellAnchor>
    <xdr:from>
      <xdr:col>1</xdr:col>
      <xdr:colOff>171451</xdr:colOff>
      <xdr:row>7</xdr:row>
      <xdr:rowOff>0</xdr:rowOff>
    </xdr:from>
    <xdr:ext cx="7058024" cy="457200"/>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B8839E8-EFB5-40D3-8304-94435FFA6B81}"/>
                </a:ext>
              </a:extLst>
            </xdr:cNvPr>
            <xdr:cNvSpPr txBox="1"/>
          </xdr:nvSpPr>
          <xdr:spPr>
            <a:xfrm>
              <a:off x="2800351" y="3267075"/>
              <a:ext cx="705802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Para xmlns:m="http://schemas.openxmlformats.org/officeDocument/2006/math">
                  <m:oMathParaPr>
                    <m:jc m:val="left"/>
                  </m:oMathParaPr>
                  <m:oMath xmlns:m="http://schemas.openxmlformats.org/officeDocument/2006/math">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Average</m:t>
                        </m:r>
                        <m:r>
                          <a:rPr lang="en-US" sz="1100" b="0" i="0">
                            <a:latin typeface="Cambria Math" panose="02040503050406030204" pitchFamily="18" charset="0"/>
                          </a:rPr>
                          <m:t> </m:t>
                        </m:r>
                        <m:r>
                          <m:rPr>
                            <m:sty m:val="p"/>
                          </m:rPr>
                          <a:rPr lang="en-US" sz="1100" b="0" i="0">
                            <a:latin typeface="Cambria Math" panose="02040503050406030204" pitchFamily="18" charset="0"/>
                          </a:rPr>
                          <m:t>unreported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for</m:t>
                        </m:r>
                        <m:r>
                          <a:rPr lang="en-US" sz="1100" b="0" i="0">
                            <a:latin typeface="Cambria Math" panose="02040503050406030204" pitchFamily="18" charset="0"/>
                          </a:rPr>
                          <m:t> </m:t>
                        </m:r>
                        <m:r>
                          <m:rPr>
                            <m:sty m:val="p"/>
                          </m:rPr>
                          <a:rPr lang="en-US" sz="1100" b="0" i="0">
                            <a:latin typeface="Cambria Math" panose="02040503050406030204" pitchFamily="18" charset="0"/>
                          </a:rPr>
                          <m:t>supplier</m:t>
                        </m:r>
                        <m:r>
                          <a:rPr lang="en-US" sz="1100" b="0" i="0">
                            <a:latin typeface="Cambria Math" panose="02040503050406030204" pitchFamily="18" charset="0"/>
                          </a:rPr>
                          <m:t> (</m:t>
                        </m:r>
                        <m:r>
                          <m:rPr>
                            <m:sty m:val="p"/>
                          </m:rPr>
                          <a:rPr lang="en-US" sz="1100" b="0" i="0">
                            <a:latin typeface="Cambria Math" panose="02040503050406030204" pitchFamily="18" charset="0"/>
                          </a:rPr>
                          <m:t>acrefeet</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year</m:t>
                        </m:r>
                        <m:r>
                          <a:rPr lang="en-US" sz="1100" b="0" i="0">
                            <a:latin typeface="Cambria Math" panose="02040503050406030204" pitchFamily="18" charset="0"/>
                          </a:rPr>
                          <m:t>)</m:t>
                        </m:r>
                      </m:num>
                      <m:den>
                        <m:r>
                          <m:rPr>
                            <m:sty m:val="p"/>
                          </m:rPr>
                          <a:rPr lang="en-US" sz="1100" b="0" i="0">
                            <a:latin typeface="Cambria Math" panose="02040503050406030204" pitchFamily="18" charset="0"/>
                          </a:rPr>
                          <m:t>Average</m:t>
                        </m:r>
                        <m:r>
                          <a:rPr lang="en-US" sz="1100" b="0" i="0">
                            <a:latin typeface="Cambria Math" panose="02040503050406030204" pitchFamily="18" charset="0"/>
                          </a:rPr>
                          <m:t> </m:t>
                        </m:r>
                        <m:r>
                          <m:rPr>
                            <m:sty m:val="p"/>
                          </m:rPr>
                          <a:rPr lang="en-US" sz="1100" b="0" i="0">
                            <a:latin typeface="Cambria Math" panose="02040503050406030204" pitchFamily="18" charset="0"/>
                          </a:rPr>
                          <m:t>total</m:t>
                        </m:r>
                        <m:r>
                          <a:rPr lang="en-US" sz="1100" b="0" i="0">
                            <a:latin typeface="Cambria Math" panose="02040503050406030204" pitchFamily="18" charset="0"/>
                          </a:rPr>
                          <m:t> </m:t>
                        </m:r>
                        <m:r>
                          <m:rPr>
                            <m:sty m:val="p"/>
                          </m:rPr>
                          <a:rPr lang="en-US" sz="1100" b="0" i="0">
                            <a:latin typeface="Cambria Math" panose="02040503050406030204" pitchFamily="18" charset="0"/>
                          </a:rPr>
                          <m:t>flow</m:t>
                        </m:r>
                        <m:r>
                          <a:rPr lang="en-US" sz="1100" b="0" i="0">
                            <a:latin typeface="Cambria Math" panose="02040503050406030204" pitchFamily="18" charset="0"/>
                          </a:rPr>
                          <m:t> </m:t>
                        </m:r>
                        <m:r>
                          <m:rPr>
                            <m:sty m:val="p"/>
                          </m:rPr>
                          <a:rPr lang="en-US" sz="1100" b="0" i="0">
                            <a:latin typeface="Cambria Math" panose="02040503050406030204" pitchFamily="18" charset="0"/>
                          </a:rPr>
                          <m:t>rate</m:t>
                        </m:r>
                        <m:r>
                          <a:rPr lang="en-US" sz="1100" b="0" i="0">
                            <a:latin typeface="Cambria Math" panose="02040503050406030204" pitchFamily="18" charset="0"/>
                          </a:rPr>
                          <m:t> </m:t>
                        </m:r>
                        <m:r>
                          <m:rPr>
                            <m:sty m:val="p"/>
                          </m:rPr>
                          <a:rPr lang="en-US" sz="1100" b="0" i="0">
                            <a:latin typeface="Cambria Math" panose="02040503050406030204" pitchFamily="18" charset="0"/>
                          </a:rPr>
                          <m:t>for</m:t>
                        </m:r>
                        <m:r>
                          <a:rPr lang="en-US" sz="1100" b="0" i="0">
                            <a:latin typeface="Cambria Math" panose="02040503050406030204" pitchFamily="18" charset="0"/>
                          </a:rPr>
                          <m:t> </m:t>
                        </m:r>
                        <m:r>
                          <m:rPr>
                            <m:sty m:val="p"/>
                          </m:rPr>
                          <a:rPr lang="en-US" sz="1100" b="0" i="0">
                            <a:latin typeface="Cambria Math" panose="02040503050406030204" pitchFamily="18" charset="0"/>
                          </a:rPr>
                          <m:t>unreported</m:t>
                        </m:r>
                        <m:r>
                          <a:rPr lang="en-US" sz="1100" b="0" i="0">
                            <a:latin typeface="Cambria Math" panose="02040503050406030204" pitchFamily="18" charset="0"/>
                          </a:rPr>
                          <m:t> </m:t>
                        </m:r>
                        <m:r>
                          <m:rPr>
                            <m:sty m:val="p"/>
                          </m:rPr>
                          <a:rPr lang="en-US" sz="1100" b="0" i="0">
                            <a:latin typeface="Cambria Math" panose="02040503050406030204" pitchFamily="18" charset="0"/>
                          </a:rPr>
                          <m:t>leaks</m:t>
                        </m:r>
                        <m:r>
                          <a:rPr lang="en-US" sz="1100" b="0" i="0">
                            <a:latin typeface="Cambria Math" panose="02040503050406030204" pitchFamily="18" charset="0"/>
                          </a:rPr>
                          <m:t> </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acrefeet</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year</m:t>
                            </m:r>
                          </m:e>
                        </m:d>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Total</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length</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mains</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miles</m:t>
                        </m:r>
                        <m:r>
                          <a:rPr lang="en-US" sz="1100" b="0" i="0">
                            <a:latin typeface="Cambria Math" panose="02040503050406030204" pitchFamily="18" charset="0"/>
                            <a:ea typeface="Cambria Math" panose="02040503050406030204" pitchFamily="18" charset="0"/>
                          </a:rPr>
                          <m:t>)</m:t>
                        </m:r>
                      </m:den>
                    </m:f>
                  </m:oMath>
                </m:oMathPara>
              </a14:m>
              <a:endParaRPr lang="en-US" sz="1100" i="0"/>
            </a:p>
          </xdr:txBody>
        </xdr:sp>
      </mc:Choice>
      <mc:Fallback xmlns="">
        <xdr:sp macro="" textlink="">
          <xdr:nvSpPr>
            <xdr:cNvPr id="14" name="TextBox 13">
              <a:extLst>
                <a:ext uri="{FF2B5EF4-FFF2-40B4-BE49-F238E27FC236}">
                  <a16:creationId xmlns:a16="http://schemas.microsoft.com/office/drawing/2014/main" id="{4B8839E8-EFB5-40D3-8304-94435FFA6B81}"/>
                </a:ext>
              </a:extLst>
            </xdr:cNvPr>
            <xdr:cNvSpPr txBox="1"/>
          </xdr:nvSpPr>
          <xdr:spPr>
            <a:xfrm>
              <a:off x="2800351" y="3267075"/>
              <a:ext cx="705802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en-US" sz="1100" b="0" i="0">
                  <a:latin typeface="Cambria Math" panose="02040503050406030204" pitchFamily="18" charset="0"/>
                </a:rPr>
                <a:t>(Average unreported leakage for supplier (acrefeet per year))/(Average total flow rate for unreported leaks (acrefeet per year)</a:t>
              </a:r>
              <a:r>
                <a:rPr lang="en-US" sz="1100" b="0" i="0">
                  <a:latin typeface="Cambria Math" panose="02040503050406030204" pitchFamily="18" charset="0"/>
                  <a:ea typeface="Cambria Math" panose="02040503050406030204" pitchFamily="18" charset="0"/>
                </a:rPr>
                <a:t>×Total length of mains (miles))</a:t>
              </a:r>
              <a:endParaRPr lang="en-US" sz="1100" i="0"/>
            </a:p>
          </xdr:txBody>
        </xdr:sp>
      </mc:Fallback>
    </mc:AlternateContent>
    <xdr:clientData/>
  </xdr:oneCellAnchor>
  <xdr:oneCellAnchor>
    <xdr:from>
      <xdr:col>1</xdr:col>
      <xdr:colOff>97734</xdr:colOff>
      <xdr:row>8</xdr:row>
      <xdr:rowOff>14908</xdr:rowOff>
    </xdr:from>
    <xdr:ext cx="4210063" cy="352469"/>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3FA96BC1-097B-4BAA-9868-3634232B0413}"/>
                </a:ext>
              </a:extLst>
            </xdr:cNvPr>
            <xdr:cNvSpPr txBox="1"/>
          </xdr:nvSpPr>
          <xdr:spPr>
            <a:xfrm>
              <a:off x="2726634" y="4148758"/>
              <a:ext cx="4210063" cy="3524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Total</m:t>
                        </m:r>
                        <m:r>
                          <a:rPr lang="en-US" sz="1100" b="0" i="0">
                            <a:latin typeface="Cambria Math" panose="02040503050406030204" pitchFamily="18" charset="0"/>
                          </a:rPr>
                          <m:t> </m:t>
                        </m:r>
                        <m:r>
                          <m:rPr>
                            <m:sty m:val="p"/>
                          </m:rPr>
                          <a:rPr lang="en-US" sz="1100" b="0" i="0">
                            <a:latin typeface="Cambria Math" panose="02040503050406030204" pitchFamily="18" charset="0"/>
                          </a:rPr>
                          <m:t>length</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mains</m:t>
                        </m:r>
                        <m:r>
                          <a:rPr lang="en-US" sz="1100" b="0" i="0">
                            <a:latin typeface="Cambria Math" panose="02040503050406030204" pitchFamily="18" charset="0"/>
                          </a:rPr>
                          <m:t> (</m:t>
                        </m:r>
                        <m:r>
                          <m:rPr>
                            <m:sty m:val="p"/>
                          </m:rPr>
                          <a:rPr lang="en-US" sz="1100" b="0" i="0">
                            <a:latin typeface="Cambria Math" panose="02040503050406030204" pitchFamily="18" charset="0"/>
                          </a:rPr>
                          <m:t>miles</m:t>
                        </m:r>
                        <m:r>
                          <a:rPr lang="en-US" sz="1100" b="0" i="0">
                            <a:latin typeface="Cambria Math" panose="02040503050406030204" pitchFamily="18" charset="0"/>
                          </a:rPr>
                          <m:t>)</m:t>
                        </m:r>
                      </m:num>
                      <m:den>
                        <m:r>
                          <m:rPr>
                            <m:sty m:val="p"/>
                          </m:rPr>
                          <a:rPr lang="en-US" sz="1100" b="0" i="0">
                            <a:latin typeface="Cambria Math" panose="02040503050406030204" pitchFamily="18" charset="0"/>
                          </a:rPr>
                          <m:t>Maximum</m:t>
                        </m:r>
                        <m:r>
                          <a:rPr lang="en-US" sz="1100" b="0" i="0">
                            <a:latin typeface="Cambria Math" panose="02040503050406030204" pitchFamily="18" charset="0"/>
                          </a:rPr>
                          <m:t> </m:t>
                        </m:r>
                        <m:r>
                          <m:rPr>
                            <m:sty m:val="p"/>
                          </m:rPr>
                          <a:rPr lang="en-US" sz="1100" b="0" i="0">
                            <a:latin typeface="Cambria Math" panose="02040503050406030204" pitchFamily="18" charset="0"/>
                          </a:rPr>
                          <m:t>average</m:t>
                        </m:r>
                        <m:r>
                          <a:rPr lang="en-US" sz="1100" b="0" i="0">
                            <a:latin typeface="Cambria Math" panose="02040503050406030204" pitchFamily="18" charset="0"/>
                          </a:rPr>
                          <m:t> </m:t>
                        </m:r>
                        <m:r>
                          <m:rPr>
                            <m:sty m:val="p"/>
                          </m:rPr>
                          <a:rPr lang="en-US" sz="1100" b="0" i="0">
                            <a:latin typeface="Cambria Math" panose="02040503050406030204" pitchFamily="18" charset="0"/>
                          </a:rPr>
                          <m:t>leak</m:t>
                        </m:r>
                        <m:r>
                          <a:rPr lang="en-US" sz="1100" b="0" i="0">
                            <a:latin typeface="Cambria Math" panose="02040503050406030204" pitchFamily="18" charset="0"/>
                          </a:rPr>
                          <m:t> </m:t>
                        </m:r>
                        <m:r>
                          <m:rPr>
                            <m:sty m:val="p"/>
                          </m:rPr>
                          <a:rPr lang="en-US" sz="1100" b="0" i="0">
                            <a:latin typeface="Cambria Math" panose="02040503050406030204" pitchFamily="18" charset="0"/>
                          </a:rPr>
                          <m:t>detection</m:t>
                        </m:r>
                        <m:r>
                          <a:rPr lang="en-US" sz="1100" b="0" i="0">
                            <a:latin typeface="Cambria Math" panose="02040503050406030204" pitchFamily="18" charset="0"/>
                          </a:rPr>
                          <m:t> </m:t>
                        </m:r>
                        <m:r>
                          <m:rPr>
                            <m:sty m:val="p"/>
                          </m:rPr>
                          <a:rPr lang="en-US" sz="1100" b="0" i="0">
                            <a:latin typeface="Cambria Math" panose="02040503050406030204" pitchFamily="18" charset="0"/>
                          </a:rPr>
                          <m:t>survey</m:t>
                        </m:r>
                        <m:r>
                          <a:rPr lang="en-US" sz="1100" b="0" i="0">
                            <a:latin typeface="Cambria Math" panose="02040503050406030204" pitchFamily="18" charset="0"/>
                          </a:rPr>
                          <m:t> </m:t>
                        </m:r>
                        <m:r>
                          <m:rPr>
                            <m:sty m:val="p"/>
                          </m:rPr>
                          <a:rPr lang="en-US" sz="1100" b="0" i="0">
                            <a:latin typeface="Cambria Math" panose="02040503050406030204" pitchFamily="18" charset="0"/>
                          </a:rPr>
                          <m:t>frequency</m:t>
                        </m:r>
                        <m:r>
                          <a:rPr lang="en-US" sz="1100" b="0" i="0">
                            <a:latin typeface="Cambria Math" panose="02040503050406030204" pitchFamily="18" charset="0"/>
                          </a:rPr>
                          <m:t> (</m:t>
                        </m:r>
                        <m:r>
                          <m:rPr>
                            <m:sty m:val="p"/>
                          </m:rPr>
                          <a:rPr lang="en-US" sz="1100" b="0" i="0">
                            <a:latin typeface="Cambria Math" panose="02040503050406030204" pitchFamily="18" charset="0"/>
                          </a:rPr>
                          <m:t>miles</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r>
                          <a:rPr lang="en-US" sz="1100" b="0" i="0">
                            <a:latin typeface="Cambria Math" panose="02040503050406030204" pitchFamily="18" charset="0"/>
                          </a:rPr>
                          <m:t>)</m:t>
                        </m:r>
                      </m:den>
                    </m:f>
                  </m:oMath>
                </m:oMathPara>
              </a14:m>
              <a:endParaRPr lang="en-US" sz="1100" i="0"/>
            </a:p>
          </xdr:txBody>
        </xdr:sp>
      </mc:Choice>
      <mc:Fallback xmlns="">
        <xdr:sp macro="" textlink="">
          <xdr:nvSpPr>
            <xdr:cNvPr id="15" name="TextBox 14">
              <a:extLst>
                <a:ext uri="{FF2B5EF4-FFF2-40B4-BE49-F238E27FC236}">
                  <a16:creationId xmlns:a16="http://schemas.microsoft.com/office/drawing/2014/main" id="{3FA96BC1-097B-4BAA-9868-3634232B0413}"/>
                </a:ext>
              </a:extLst>
            </xdr:cNvPr>
            <xdr:cNvSpPr txBox="1"/>
          </xdr:nvSpPr>
          <xdr:spPr>
            <a:xfrm>
              <a:off x="2726634" y="4148758"/>
              <a:ext cx="4210063" cy="3524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(Total length of mains (miles))/(Maximum average leak detection survey frequency (miles per month))</a:t>
              </a:r>
              <a:endParaRPr lang="en-US" sz="1100" i="0"/>
            </a:p>
          </xdr:txBody>
        </xdr:sp>
      </mc:Fallback>
    </mc:AlternateContent>
    <xdr:clientData/>
  </xdr:oneCellAnchor>
  <xdr:oneCellAnchor>
    <xdr:from>
      <xdr:col>1</xdr:col>
      <xdr:colOff>106017</xdr:colOff>
      <xdr:row>9</xdr:row>
      <xdr:rowOff>122583</xdr:rowOff>
    </xdr:from>
    <xdr:ext cx="6757940" cy="172227"/>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E6C35B9F-E468-4A3C-ADD6-5F9B8F3092C1}"/>
                </a:ext>
              </a:extLst>
            </xdr:cNvPr>
            <xdr:cNvSpPr txBox="1"/>
          </xdr:nvSpPr>
          <xdr:spPr>
            <a:xfrm>
              <a:off x="2734917" y="4989858"/>
              <a:ext cx="67579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n-US" sz="1100" b="0" i="1">
                            <a:latin typeface="Cambria Math" panose="02040503050406030204" pitchFamily="18" charset="0"/>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taken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to</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survey</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each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system</m:t>
                        </m:r>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e>
                    </m:d>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Unreported</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leakage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per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Time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step</m:t>
                    </m:r>
                  </m:oMath>
                </m:oMathPara>
              </a14:m>
              <a:endParaRPr lang="en-US" sz="1100" i="0"/>
            </a:p>
          </xdr:txBody>
        </xdr:sp>
      </mc:Choice>
      <mc:Fallback xmlns="">
        <xdr:sp macro="" textlink="">
          <xdr:nvSpPr>
            <xdr:cNvPr id="16" name="TextBox 15">
              <a:extLst>
                <a:ext uri="{FF2B5EF4-FFF2-40B4-BE49-F238E27FC236}">
                  <a16:creationId xmlns:a16="http://schemas.microsoft.com/office/drawing/2014/main" id="{E6C35B9F-E468-4A3C-ADD6-5F9B8F3092C1}"/>
                </a:ext>
              </a:extLst>
            </xdr:cNvPr>
            <xdr:cNvSpPr txBox="1"/>
          </xdr:nvSpPr>
          <xdr:spPr>
            <a:xfrm>
              <a:off x="2734917" y="4989858"/>
              <a:ext cx="67579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Month taken to survey each system−month of implementation)</a:t>
              </a:r>
              <a:r>
                <a:rPr lang="en-US" sz="1100" b="0" i="0">
                  <a:latin typeface="Cambria Math" panose="02040503050406030204" pitchFamily="18" charset="0"/>
                  <a:ea typeface="Cambria Math" panose="02040503050406030204" pitchFamily="18" charset="0"/>
                </a:rPr>
                <a:t>×Unreported leakage per month×Time step</a:t>
              </a:r>
              <a:endParaRPr lang="en-US" sz="1100" i="0"/>
            </a:p>
          </xdr:txBody>
        </xdr:sp>
      </mc:Fallback>
    </mc:AlternateContent>
    <xdr:clientData/>
  </xdr:oneCellAnchor>
  <xdr:oneCellAnchor>
    <xdr:from>
      <xdr:col>1</xdr:col>
      <xdr:colOff>14908</xdr:colOff>
      <xdr:row>10</xdr:row>
      <xdr:rowOff>106017</xdr:rowOff>
    </xdr:from>
    <xdr:ext cx="6864380" cy="545727"/>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48CE0A31-E6D2-4FC2-883E-E5B7D8197AB2}"/>
                </a:ext>
              </a:extLst>
            </xdr:cNvPr>
            <xdr:cNvSpPr txBox="1"/>
          </xdr:nvSpPr>
          <xdr:spPr>
            <a:xfrm>
              <a:off x="2643808" y="5420967"/>
              <a:ext cx="6864380" cy="545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n-US" sz="1100" b="0" i="1">
                            <a:latin typeface="Cambria Math" panose="02040503050406030204" pitchFamily="18" charset="0"/>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taken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to</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survey</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each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system</m:t>
                        </m:r>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r>
                          <a:rPr lang="en-US" sz="1100" b="0" i="0">
                            <a:solidFill>
                              <a:schemeClr val="tx1"/>
                            </a:solidFill>
                            <a:effectLst/>
                            <a:latin typeface="Cambria Math" panose="02040503050406030204" pitchFamily="18" charset="0"/>
                            <a:ea typeface="+mn-ea"/>
                            <a:cs typeface="+mn-cs"/>
                          </a:rPr>
                          <m:t>+1</m:t>
                        </m:r>
                      </m:e>
                    </m:d>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annual</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average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rise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in</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leakage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per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month</m:t>
                    </m:r>
                  </m:oMath>
                </m:oMathPara>
              </a14:m>
              <a:endParaRPr lang="en-US" sz="1100" b="0" i="0">
                <a:latin typeface="Cambria Math"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r>
                      <a:rPr lang="en-US" sz="1100" b="0" i="0">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implementation</m:t>
                        </m:r>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1</m:t>
                            </m:r>
                          </m:num>
                          <m:den>
                            <m:r>
                              <a:rPr lang="en-US" sz="1100" b="0" i="0">
                                <a:latin typeface="Cambria Math" panose="02040503050406030204" pitchFamily="18" charset="0"/>
                                <a:ea typeface="Cambria Math" panose="02040503050406030204" pitchFamily="18" charset="0"/>
                              </a:rPr>
                              <m:t>2</m:t>
                            </m:r>
                          </m:den>
                        </m:f>
                      </m:e>
                    </m:d>
                    <m:r>
                      <a:rPr lang="en-US" sz="1100" b="0" i="0">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r>
                              <m:rPr>
                                <m:sty m:val="p"/>
                              </m:rPr>
                              <a:rPr lang="en-US" sz="1100" b="0" i="0">
                                <a:solidFill>
                                  <a:schemeClr val="tx1"/>
                                </a:solidFill>
                                <a:effectLst/>
                                <a:latin typeface="Cambria Math" panose="02040503050406030204" pitchFamily="18" charset="0"/>
                                <a:ea typeface="+mn-ea"/>
                                <a:cs typeface="+mn-cs"/>
                              </a:rPr>
                              <m:t>time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step</m:t>
                            </m:r>
                          </m:e>
                        </m:d>
                      </m:e>
                      <m:sup>
                        <m:r>
                          <a:rPr lang="en-US" sz="1100" b="0" i="0">
                            <a:latin typeface="Cambria Math" panose="02040503050406030204" pitchFamily="18" charset="0"/>
                            <a:ea typeface="Cambria Math" panose="02040503050406030204" pitchFamily="18" charset="0"/>
                          </a:rPr>
                          <m:t>2</m:t>
                        </m:r>
                      </m:sup>
                    </m:sSup>
                  </m:oMath>
                </m:oMathPara>
              </a14:m>
              <a:endParaRPr lang="en-US" sz="1100" i="0"/>
            </a:p>
          </xdr:txBody>
        </xdr:sp>
      </mc:Choice>
      <mc:Fallback xmlns="">
        <xdr:sp macro="" textlink="">
          <xdr:nvSpPr>
            <xdr:cNvPr id="17" name="TextBox 16">
              <a:extLst>
                <a:ext uri="{FF2B5EF4-FFF2-40B4-BE49-F238E27FC236}">
                  <a16:creationId xmlns:a16="http://schemas.microsoft.com/office/drawing/2014/main" id="{48CE0A31-E6D2-4FC2-883E-E5B7D8197AB2}"/>
                </a:ext>
              </a:extLst>
            </xdr:cNvPr>
            <xdr:cNvSpPr txBox="1"/>
          </xdr:nvSpPr>
          <xdr:spPr>
            <a:xfrm>
              <a:off x="2643808" y="5420967"/>
              <a:ext cx="6864380" cy="545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t>
              </a:r>
              <a:r>
                <a:rPr lang="en-US" sz="1100" b="0" i="0">
                  <a:solidFill>
                    <a:schemeClr val="tx1"/>
                  </a:solidFill>
                  <a:effectLst/>
                  <a:latin typeface="+mn-lt"/>
                  <a:ea typeface="+mn-ea"/>
                  <a:cs typeface="+mn-cs"/>
                </a:rPr>
                <a:t>Month taken to survey each system</a:t>
              </a:r>
              <a:r>
                <a:rPr lang="en-US" sz="1100" b="0" i="0">
                  <a:solidFill>
                    <a:schemeClr val="tx1"/>
                  </a:solidFill>
                  <a:effectLst/>
                  <a:latin typeface="Cambria Math" panose="02040503050406030204" pitchFamily="18" charset="0"/>
                  <a:ea typeface="+mn-ea"/>
                  <a:cs typeface="+mn-cs"/>
                </a:rPr>
                <a:t>−month of implementation+1)</a:t>
              </a:r>
              <a:r>
                <a:rPr lang="en-US" sz="1100" b="0" i="0">
                  <a:latin typeface="Cambria Math" panose="02040503050406030204" pitchFamily="18" charset="0"/>
                  <a:ea typeface="Cambria Math" panose="02040503050406030204" pitchFamily="18" charset="0"/>
                </a:rPr>
                <a:t>×annual average rise in leakage per month</a:t>
              </a:r>
            </a:p>
            <a:p>
              <a:pPr/>
              <a:r>
                <a:rPr lang="en-US" sz="1100" b="0" i="0">
                  <a:latin typeface="Cambria Math" panose="02040503050406030204" pitchFamily="18" charset="0"/>
                  <a:ea typeface="Cambria Math" panose="02040503050406030204" pitchFamily="18" charset="0"/>
                </a:rPr>
                <a:t>×(month of implementation−1/2)×</a:t>
              </a:r>
              <a:r>
                <a:rPr lang="en-US" sz="1100" b="0" i="0">
                  <a:solidFill>
                    <a:schemeClr val="tx1"/>
                  </a:solidFill>
                  <a:effectLst/>
                  <a:latin typeface="Cambria Math" panose="02040503050406030204" pitchFamily="18" charset="0"/>
                  <a:ea typeface="+mn-ea"/>
                  <a:cs typeface="+mn-cs"/>
                </a:rPr>
                <a:t>(time step)</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2</a:t>
              </a:r>
              <a:endParaRPr lang="en-US" sz="1100" i="0"/>
            </a:p>
          </xdr:txBody>
        </xdr:sp>
      </mc:Fallback>
    </mc:AlternateContent>
    <xdr:clientData/>
  </xdr:oneCellAnchor>
  <xdr:oneCellAnchor>
    <xdr:from>
      <xdr:col>1</xdr:col>
      <xdr:colOff>89452</xdr:colOff>
      <xdr:row>11</xdr:row>
      <xdr:rowOff>97735</xdr:rowOff>
    </xdr:from>
    <xdr:ext cx="5022722" cy="503984"/>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884DABA4-DFEC-427A-B0C8-18FEA4A72A73}"/>
                </a:ext>
              </a:extLst>
            </xdr:cNvPr>
            <xdr:cNvSpPr txBox="1"/>
          </xdr:nvSpPr>
          <xdr:spPr>
            <a:xfrm>
              <a:off x="2718352" y="6108010"/>
              <a:ext cx="5022722" cy="503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panose="02040503050406030204" pitchFamily="18" charset="0"/>
                  <a:ea typeface="Cambria" panose="02040503050406030204" pitchFamily="18" charset="0"/>
                </a:rPr>
                <a:t>Before</a:t>
              </a:r>
              <a:r>
                <a:rPr lang="en-US" sz="1100" b="0" i="0" baseline="0">
                  <a:latin typeface="Cambria" panose="02040503050406030204" pitchFamily="18" charset="0"/>
                  <a:ea typeface="Cambria" panose="02040503050406030204" pitchFamily="18" charset="0"/>
                </a:rPr>
                <a:t> entire system is surveyed once:</a:t>
              </a:r>
            </a:p>
            <a:p>
              <a:pPr/>
              <a14:m>
                <m:oMathPara xmlns:m="http://schemas.openxmlformats.org/officeDocument/2006/math">
                  <m:oMathParaPr>
                    <m:jc m:val="left"/>
                  </m:oMathParaPr>
                  <m:oMath xmlns:m="http://schemas.openxmlformats.org/officeDocument/2006/math">
                    <m:r>
                      <m:rPr>
                        <m:sty m:val="p"/>
                      </m:rPr>
                      <a:rPr lang="en-US" sz="1100" b="0" i="0">
                        <a:latin typeface="Cambria Math" panose="02040503050406030204" pitchFamily="18" charset="0"/>
                      </a:rPr>
                      <m:t>Rate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rise</m:t>
                    </m:r>
                    <m:r>
                      <a:rPr lang="en-US" sz="1100" b="0" i="0">
                        <a:latin typeface="Cambria Math" panose="02040503050406030204" pitchFamily="18" charset="0"/>
                      </a:rPr>
                      <m:t> </m:t>
                    </m:r>
                    <m:r>
                      <m:rPr>
                        <m:sty m:val="p"/>
                      </m:rPr>
                      <a:rPr lang="en-US" sz="1100" b="0" i="0">
                        <a:latin typeface="Cambria Math" panose="02040503050406030204" pitchFamily="18" charset="0"/>
                      </a:rPr>
                      <m:t>in</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r>
                          <m:rPr>
                            <m:sty m:val="p"/>
                          </m:rPr>
                          <a:rPr lang="en-US" sz="1100" b="0" i="0">
                            <a:latin typeface="Cambria Math" panose="02040503050406030204" pitchFamily="18" charset="0"/>
                            <a:ea typeface="Cambria Math" panose="02040503050406030204" pitchFamily="18" charset="0"/>
                          </a:rPr>
                          <m:t>time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step</m:t>
                        </m:r>
                      </m:e>
                      <m:sup>
                        <m:r>
                          <a:rPr lang="en-US" sz="1100" b="0" i="0">
                            <a:latin typeface="Cambria Math" panose="02040503050406030204" pitchFamily="18" charset="0"/>
                            <a:ea typeface="Cambria Math" panose="02040503050406030204" pitchFamily="18" charset="0"/>
                          </a:rPr>
                          <m:t>2</m:t>
                        </m:r>
                      </m:sup>
                    </m:sSup>
                    <m:r>
                      <a:rPr lang="en-US" sz="1100" b="0" i="0">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f>
                          <m:fPr>
                            <m:ctrlPr>
                              <a:rPr lang="en-US" sz="1100" b="0" i="1">
                                <a:latin typeface="Cambria Math" panose="02040503050406030204" pitchFamily="18" charset="0"/>
                                <a:ea typeface="Cambria Math" panose="02040503050406030204" pitchFamily="18" charset="0"/>
                              </a:rPr>
                            </m:ctrlPr>
                          </m:fPr>
                          <m:num>
                            <m:sSup>
                              <m:sSupPr>
                                <m:ctrlPr>
                                  <a:rPr lang="en-US" sz="1100" b="0" i="1">
                                    <a:latin typeface="Cambria Math" panose="02040503050406030204" pitchFamily="18" charset="0"/>
                                    <a:ea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r>
                                      <a:rPr lang="en-US" sz="1100" b="0" i="0">
                                        <a:solidFill>
                                          <a:schemeClr val="tx1"/>
                                        </a:solidFill>
                                        <a:effectLst/>
                                        <a:latin typeface="Cambria Math" panose="02040503050406030204" pitchFamily="18" charset="0"/>
                                        <a:ea typeface="+mn-ea"/>
                                        <a:cs typeface="+mn-cs"/>
                                      </a:rPr>
                                      <m:t>−1</m:t>
                                    </m:r>
                                  </m:e>
                                </m:d>
                              </m:e>
                              <m:sup>
                                <m:r>
                                  <a:rPr lang="en-US" sz="1100" b="0" i="0">
                                    <a:latin typeface="Cambria Math" panose="02040503050406030204" pitchFamily="18" charset="0"/>
                                    <a:ea typeface="Cambria Math" panose="02040503050406030204" pitchFamily="18" charset="0"/>
                                  </a:rPr>
                                  <m:t>2</m:t>
                                </m:r>
                              </m:sup>
                            </m:sSup>
                          </m:num>
                          <m:den>
                            <m:r>
                              <a:rPr lang="en-US" sz="1100" b="0" i="0">
                                <a:latin typeface="Cambria Math" panose="02040503050406030204" pitchFamily="18" charset="0"/>
                                <a:ea typeface="Cambria Math" panose="02040503050406030204" pitchFamily="18" charset="0"/>
                              </a:rPr>
                              <m:t>2</m:t>
                            </m:r>
                          </m:den>
                        </m:f>
                        <m:r>
                          <a:rPr lang="en-US" sz="1100" b="0" i="0">
                            <a:latin typeface="Cambria Math" panose="02040503050406030204" pitchFamily="18" charset="0"/>
                            <a:ea typeface="Cambria Math" panose="02040503050406030204" pitchFamily="18" charset="0"/>
                          </a:rPr>
                          <m:t> </m:t>
                        </m:r>
                      </m:e>
                      <m:sup/>
                    </m:sSup>
                  </m:oMath>
                </m:oMathPara>
              </a14:m>
              <a:endParaRPr lang="en-US" sz="1100" i="0"/>
            </a:p>
          </xdr:txBody>
        </xdr:sp>
      </mc:Choice>
      <mc:Fallback xmlns="">
        <xdr:sp macro="" textlink="">
          <xdr:nvSpPr>
            <xdr:cNvPr id="18" name="TextBox 17">
              <a:extLst>
                <a:ext uri="{FF2B5EF4-FFF2-40B4-BE49-F238E27FC236}">
                  <a16:creationId xmlns:a16="http://schemas.microsoft.com/office/drawing/2014/main" id="{884DABA4-DFEC-427A-B0C8-18FEA4A72A73}"/>
                </a:ext>
              </a:extLst>
            </xdr:cNvPr>
            <xdr:cNvSpPr txBox="1"/>
          </xdr:nvSpPr>
          <xdr:spPr>
            <a:xfrm>
              <a:off x="2718352" y="6108010"/>
              <a:ext cx="5022722" cy="503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panose="02040503050406030204" pitchFamily="18" charset="0"/>
                  <a:ea typeface="Cambria" panose="02040503050406030204" pitchFamily="18" charset="0"/>
                </a:rPr>
                <a:t>Before</a:t>
              </a:r>
              <a:r>
                <a:rPr lang="en-US" sz="1100" b="0" i="0" baseline="0">
                  <a:latin typeface="Cambria" panose="02040503050406030204" pitchFamily="18" charset="0"/>
                  <a:ea typeface="Cambria" panose="02040503050406030204" pitchFamily="18" charset="0"/>
                </a:rPr>
                <a:t> entire system is surveyed once:</a:t>
              </a:r>
            </a:p>
            <a:p>
              <a:pPr/>
              <a:r>
                <a:rPr lang="en-US" sz="1100" b="0" i="0">
                  <a:latin typeface="Cambria Math" panose="02040503050406030204" pitchFamily="18" charset="0"/>
                </a:rPr>
                <a:t>Rate of rise in leakage per month</a:t>
              </a:r>
              <a:r>
                <a:rPr lang="en-US" sz="1100" b="0" i="0">
                  <a:latin typeface="Cambria Math" panose="02040503050406030204" pitchFamily="18" charset="0"/>
                  <a:ea typeface="Cambria Math" panose="02040503050406030204" pitchFamily="18" charset="0"/>
                </a:rPr>
                <a:t>×〖time step〗^2×〖</a:t>
              </a:r>
              <a:r>
                <a:rPr lang="en-US" sz="1100" b="0" i="0">
                  <a:solidFill>
                    <a:schemeClr val="tx1"/>
                  </a:solidFill>
                  <a:effectLst/>
                  <a:latin typeface="Cambria Math" panose="02040503050406030204" pitchFamily="18" charset="0"/>
                  <a:ea typeface="+mn-ea"/>
                  <a:cs typeface="+mn-cs"/>
                </a:rPr>
                <a:t>(month of implementation−1)</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2/2  〗^</a:t>
              </a:r>
              <a:endParaRPr lang="en-US" sz="1100" i="0"/>
            </a:p>
          </xdr:txBody>
        </xdr:sp>
      </mc:Fallback>
    </mc:AlternateContent>
    <xdr:clientData/>
  </xdr:oneCellAnchor>
  <xdr:oneCellAnchor>
    <xdr:from>
      <xdr:col>1</xdr:col>
      <xdr:colOff>91109</xdr:colOff>
      <xdr:row>11</xdr:row>
      <xdr:rowOff>670888</xdr:rowOff>
    </xdr:from>
    <xdr:ext cx="5454955" cy="503984"/>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8A31203D-62D6-49FD-A03B-9A77E8629922}"/>
                </a:ext>
              </a:extLst>
            </xdr:cNvPr>
            <xdr:cNvSpPr txBox="1"/>
          </xdr:nvSpPr>
          <xdr:spPr>
            <a:xfrm>
              <a:off x="2720009" y="6681163"/>
              <a:ext cx="5454955" cy="503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panose="02040503050406030204" pitchFamily="18" charset="0"/>
                  <a:ea typeface="Cambria" panose="02040503050406030204" pitchFamily="18" charset="0"/>
                </a:rPr>
                <a:t>After</a:t>
              </a:r>
              <a:r>
                <a:rPr lang="en-US" sz="1100" b="0" i="0" baseline="0">
                  <a:latin typeface="Cambria" panose="02040503050406030204" pitchFamily="18" charset="0"/>
                  <a:ea typeface="Cambria" panose="02040503050406030204" pitchFamily="18" charset="0"/>
                </a:rPr>
                <a:t> entire system is surveyed once:</a:t>
              </a:r>
            </a:p>
            <a:p>
              <a:pPr/>
              <a14:m>
                <m:oMathPara xmlns:m="http://schemas.openxmlformats.org/officeDocument/2006/math">
                  <m:oMathParaPr>
                    <m:jc m:val="left"/>
                  </m:oMathParaPr>
                  <m:oMath xmlns:m="http://schemas.openxmlformats.org/officeDocument/2006/math">
                    <m:r>
                      <m:rPr>
                        <m:sty m:val="p"/>
                      </m:rPr>
                      <a:rPr lang="en-US" sz="1100" b="0" i="0">
                        <a:latin typeface="Cambria Math" panose="02040503050406030204" pitchFamily="18" charset="0"/>
                      </a:rPr>
                      <m:t>Rate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rise</m:t>
                    </m:r>
                    <m:r>
                      <a:rPr lang="en-US" sz="1100" b="0" i="0">
                        <a:latin typeface="Cambria Math" panose="02040503050406030204" pitchFamily="18" charset="0"/>
                      </a:rPr>
                      <m:t> </m:t>
                    </m:r>
                    <m:r>
                      <m:rPr>
                        <m:sty m:val="p"/>
                      </m:rPr>
                      <a:rPr lang="en-US" sz="1100" b="0" i="0">
                        <a:latin typeface="Cambria Math" panose="02040503050406030204" pitchFamily="18" charset="0"/>
                      </a:rPr>
                      <m:t>in</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r>
                          <m:rPr>
                            <m:sty m:val="p"/>
                          </m:rPr>
                          <a:rPr lang="en-US" sz="1100" b="0" i="0">
                            <a:latin typeface="Cambria Math" panose="02040503050406030204" pitchFamily="18" charset="0"/>
                            <a:ea typeface="Cambria Math" panose="02040503050406030204" pitchFamily="18" charset="0"/>
                          </a:rPr>
                          <m:t>time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step</m:t>
                        </m:r>
                      </m:e>
                      <m:sup>
                        <m:r>
                          <a:rPr lang="en-US" sz="1100" b="0" i="0">
                            <a:latin typeface="Cambria Math" panose="02040503050406030204" pitchFamily="18" charset="0"/>
                            <a:ea typeface="Cambria Math" panose="02040503050406030204" pitchFamily="18" charset="0"/>
                          </a:rPr>
                          <m:t>2</m:t>
                        </m:r>
                      </m:sup>
                    </m:sSup>
                    <m:r>
                      <a:rPr lang="en-US" sz="1100" b="0" i="0">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f>
                          <m:fPr>
                            <m:ctrlPr>
                              <a:rPr lang="en-US" sz="1100" b="0" i="1">
                                <a:latin typeface="Cambria Math" panose="02040503050406030204" pitchFamily="18" charset="0"/>
                                <a:ea typeface="Cambria Math" panose="02040503050406030204" pitchFamily="18" charset="0"/>
                              </a:rPr>
                            </m:ctrlPr>
                          </m:fPr>
                          <m:num>
                            <m:sSup>
                              <m:sSupPr>
                                <m:ctrlPr>
                                  <a:rPr lang="en-US" sz="1100" b="0" i="1">
                                    <a:latin typeface="Cambria Math" panose="02040503050406030204" pitchFamily="18" charset="0"/>
                                    <a:ea typeface="Cambria Math" panose="02040503050406030204" pitchFamily="18" charset="0"/>
                                  </a:rPr>
                                </m:ctrlPr>
                              </m:sSupPr>
                              <m:e>
                                <m:r>
                                  <m:rPr>
                                    <m:sty m:val="p"/>
                                  </m:rPr>
                                  <a:rPr lang="en-US" sz="1100" b="0" i="0">
                                    <a:solidFill>
                                      <a:schemeClr val="tx1"/>
                                    </a:solidFill>
                                    <a:effectLst/>
                                    <a:latin typeface="Cambria Math" panose="02040503050406030204" pitchFamily="18" charset="0"/>
                                    <a:ea typeface="+mn-ea"/>
                                    <a:cs typeface="+mn-cs"/>
                                  </a:rPr>
                                  <m:t>months</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taken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to</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survey</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whole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sy</m:t>
                                </m:r>
                                <m:r>
                                  <a:rPr lang="en-US" sz="1100" b="0" i="1">
                                    <a:solidFill>
                                      <a:schemeClr val="tx1"/>
                                    </a:solidFill>
                                    <a:effectLst/>
                                    <a:latin typeface="Cambria Math" panose="02040503050406030204" pitchFamily="18" charset="0"/>
                                    <a:ea typeface="+mn-ea"/>
                                    <a:cs typeface="+mn-cs"/>
                                  </a:rPr>
                                  <m:t>𝑠𝑡𝑒𝑚</m:t>
                                </m:r>
                              </m:e>
                              <m:sup>
                                <m:r>
                                  <a:rPr lang="en-US" sz="1100" b="0" i="0">
                                    <a:latin typeface="Cambria Math" panose="02040503050406030204" pitchFamily="18" charset="0"/>
                                    <a:ea typeface="Cambria Math" panose="02040503050406030204" pitchFamily="18" charset="0"/>
                                  </a:rPr>
                                  <m:t>2</m:t>
                                </m:r>
                              </m:sup>
                            </m:sSup>
                          </m:num>
                          <m:den>
                            <m:r>
                              <a:rPr lang="en-US" sz="1100" b="0" i="0">
                                <a:latin typeface="Cambria Math" panose="02040503050406030204" pitchFamily="18" charset="0"/>
                                <a:ea typeface="Cambria Math" panose="02040503050406030204" pitchFamily="18" charset="0"/>
                              </a:rPr>
                              <m:t>2</m:t>
                            </m:r>
                          </m:den>
                        </m:f>
                        <m:r>
                          <a:rPr lang="en-US" sz="1100" b="0" i="0">
                            <a:latin typeface="Cambria Math" panose="02040503050406030204" pitchFamily="18" charset="0"/>
                            <a:ea typeface="Cambria Math" panose="02040503050406030204" pitchFamily="18" charset="0"/>
                          </a:rPr>
                          <m:t> </m:t>
                        </m:r>
                      </m:e>
                      <m:sup/>
                    </m:sSup>
                  </m:oMath>
                </m:oMathPara>
              </a14:m>
              <a:endParaRPr lang="en-US" sz="1100" i="0"/>
            </a:p>
          </xdr:txBody>
        </xdr:sp>
      </mc:Choice>
      <mc:Fallback xmlns="">
        <xdr:sp macro="" textlink="">
          <xdr:nvSpPr>
            <xdr:cNvPr id="19" name="TextBox 18">
              <a:extLst>
                <a:ext uri="{FF2B5EF4-FFF2-40B4-BE49-F238E27FC236}">
                  <a16:creationId xmlns:a16="http://schemas.microsoft.com/office/drawing/2014/main" id="{8A31203D-62D6-49FD-A03B-9A77E8629922}"/>
                </a:ext>
              </a:extLst>
            </xdr:cNvPr>
            <xdr:cNvSpPr txBox="1"/>
          </xdr:nvSpPr>
          <xdr:spPr>
            <a:xfrm>
              <a:off x="2720009" y="6681163"/>
              <a:ext cx="5454955" cy="503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panose="02040503050406030204" pitchFamily="18" charset="0"/>
                  <a:ea typeface="Cambria" panose="02040503050406030204" pitchFamily="18" charset="0"/>
                </a:rPr>
                <a:t>After</a:t>
              </a:r>
              <a:r>
                <a:rPr lang="en-US" sz="1100" b="0" i="0" baseline="0">
                  <a:latin typeface="Cambria" panose="02040503050406030204" pitchFamily="18" charset="0"/>
                  <a:ea typeface="Cambria" panose="02040503050406030204" pitchFamily="18" charset="0"/>
                </a:rPr>
                <a:t> entire system is surveyed once:</a:t>
              </a:r>
            </a:p>
            <a:p>
              <a:pPr/>
              <a:r>
                <a:rPr lang="en-US" sz="1100" b="0" i="0">
                  <a:latin typeface="Cambria Math" panose="02040503050406030204" pitchFamily="18" charset="0"/>
                </a:rPr>
                <a:t>Rate of rise in leakage per month</a:t>
              </a:r>
              <a:r>
                <a:rPr lang="en-US" sz="1100" b="0" i="0">
                  <a:latin typeface="Cambria Math" panose="02040503050406030204" pitchFamily="18" charset="0"/>
                  <a:ea typeface="Cambria Math" panose="02040503050406030204" pitchFamily="18" charset="0"/>
                </a:rPr>
                <a:t>×〖time step〗^2×〖〖</a:t>
              </a:r>
              <a:r>
                <a:rPr lang="en-US" sz="1100" b="0" i="0">
                  <a:solidFill>
                    <a:schemeClr val="tx1"/>
                  </a:solidFill>
                  <a:effectLst/>
                  <a:latin typeface="Cambria Math" panose="02040503050406030204" pitchFamily="18" charset="0"/>
                  <a:ea typeface="+mn-ea"/>
                  <a:cs typeface="+mn-cs"/>
                </a:rPr>
                <a:t>months taken to survey whole sy𝑠𝑡𝑒𝑚</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2/2  〗^</a:t>
              </a:r>
              <a:endParaRPr lang="en-US" sz="1100" i="0"/>
            </a:p>
          </xdr:txBody>
        </xdr:sp>
      </mc:Fallback>
    </mc:AlternateContent>
    <xdr:clientData/>
  </xdr:oneCellAnchor>
  <xdr:oneCellAnchor>
    <xdr:from>
      <xdr:col>1</xdr:col>
      <xdr:colOff>33130</xdr:colOff>
      <xdr:row>13</xdr:row>
      <xdr:rowOff>89454</xdr:rowOff>
    </xdr:from>
    <xdr:ext cx="9193696" cy="545727"/>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15D6B294-16FA-4730-9E06-C1357B07C037}"/>
                </a:ext>
              </a:extLst>
            </xdr:cNvPr>
            <xdr:cNvSpPr txBox="1"/>
          </xdr:nvSpPr>
          <xdr:spPr>
            <a:xfrm>
              <a:off x="2662030" y="7538004"/>
              <a:ext cx="9193696" cy="545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panose="02040503050406030204" pitchFamily="18" charset="0"/>
                      </a:rPr>
                      <m:t>Months</m:t>
                    </m:r>
                    <m:r>
                      <a:rPr lang="en-US" sz="1100" b="0" i="0">
                        <a:latin typeface="Cambria Math" panose="02040503050406030204" pitchFamily="18" charset="0"/>
                      </a:rPr>
                      <m:t> </m:t>
                    </m:r>
                    <m:r>
                      <m:rPr>
                        <m:sty m:val="p"/>
                      </m:rPr>
                      <a:rPr lang="en-US" sz="1100" b="0" i="0">
                        <a:latin typeface="Cambria Math" panose="02040503050406030204" pitchFamily="18" charset="0"/>
                      </a:rPr>
                      <m:t>taken</m:t>
                    </m:r>
                    <m:r>
                      <a:rPr lang="en-US" sz="1100" b="0" i="0">
                        <a:latin typeface="Cambria Math" panose="02040503050406030204" pitchFamily="18" charset="0"/>
                      </a:rPr>
                      <m:t> </m:t>
                    </m:r>
                    <m:r>
                      <m:rPr>
                        <m:sty m:val="p"/>
                      </m:rPr>
                      <a:rPr lang="en-US" sz="1100" b="0" i="0">
                        <a:latin typeface="Cambria Math" panose="02040503050406030204" pitchFamily="18" charset="0"/>
                      </a:rPr>
                      <m:t>to</m:t>
                    </m:r>
                    <m:r>
                      <a:rPr lang="en-US" sz="1100" b="0" i="0">
                        <a:latin typeface="Cambria Math" panose="02040503050406030204" pitchFamily="18" charset="0"/>
                      </a:rPr>
                      <m:t> </m:t>
                    </m:r>
                    <m:r>
                      <m:rPr>
                        <m:sty m:val="p"/>
                      </m:rPr>
                      <a:rPr lang="en-US" sz="1100" b="0" i="0">
                        <a:latin typeface="Cambria Math" panose="02040503050406030204" pitchFamily="18" charset="0"/>
                      </a:rPr>
                      <m:t>survey</m:t>
                    </m:r>
                    <m:r>
                      <a:rPr lang="en-US" sz="1100" b="0" i="0">
                        <a:latin typeface="Cambria Math" panose="02040503050406030204" pitchFamily="18" charset="0"/>
                      </a:rPr>
                      <m:t> </m:t>
                    </m:r>
                    <m:r>
                      <m:rPr>
                        <m:sty m:val="p"/>
                      </m:rPr>
                      <a:rPr lang="en-US" sz="1100" b="0" i="0">
                        <a:latin typeface="Cambria Math" panose="02040503050406030204" pitchFamily="18" charset="0"/>
                      </a:rPr>
                      <m:t>whole</m:t>
                    </m:r>
                    <m:r>
                      <a:rPr lang="en-US" sz="1100" b="0" i="0">
                        <a:latin typeface="Cambria Math" panose="02040503050406030204" pitchFamily="18" charset="0"/>
                      </a:rPr>
                      <m:t> </m:t>
                    </m:r>
                    <m:r>
                      <m:rPr>
                        <m:sty m:val="p"/>
                      </m:rPr>
                      <a:rPr lang="en-US" sz="1100" b="0" i="0">
                        <a:latin typeface="Cambria Math" panose="02040503050406030204" pitchFamily="18" charset="0"/>
                      </a:rPr>
                      <m:t>system</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time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step</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average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baseline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real</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loss</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per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Rate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rise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in</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leakage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per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r>
                              <a:rPr lang="en-US" sz="1100" b="0" i="1">
                                <a:solidFill>
                                  <a:schemeClr val="tx1"/>
                                </a:solidFill>
                                <a:effectLst/>
                                <a:latin typeface="Cambria Math" panose="02040503050406030204" pitchFamily="18" charset="0"/>
                                <a:ea typeface="Cambria Math" panose="02040503050406030204" pitchFamily="18" charset="0"/>
                                <a:cs typeface="+mn-cs"/>
                              </a:rPr>
                              <m:t>− </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2</m:t>
                                </m:r>
                              </m:den>
                            </m:f>
                          </m:e>
                        </m:d>
                        <m:r>
                          <a:rPr lang="en-US" sz="1100" b="0" i="1">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timestep</m:t>
                        </m:r>
                      </m:e>
                    </m:d>
                  </m:oMath>
                </m:oMathPara>
              </a14:m>
              <a:endParaRPr lang="en-US" sz="1100" i="0"/>
            </a:p>
          </xdr:txBody>
        </xdr:sp>
      </mc:Choice>
      <mc:Fallback xmlns="">
        <xdr:sp macro="" textlink="">
          <xdr:nvSpPr>
            <xdr:cNvPr id="20" name="TextBox 19">
              <a:extLst>
                <a:ext uri="{FF2B5EF4-FFF2-40B4-BE49-F238E27FC236}">
                  <a16:creationId xmlns:a16="http://schemas.microsoft.com/office/drawing/2014/main" id="{15D6B294-16FA-4730-9E06-C1357B07C037}"/>
                </a:ext>
              </a:extLst>
            </xdr:cNvPr>
            <xdr:cNvSpPr txBox="1"/>
          </xdr:nvSpPr>
          <xdr:spPr>
            <a:xfrm>
              <a:off x="2662030" y="7538004"/>
              <a:ext cx="9193696" cy="545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Months taken to survey whole system</a:t>
              </a:r>
              <a:r>
                <a:rPr lang="en-US" sz="1100" b="0" i="0">
                  <a:latin typeface="Cambria Math" panose="02040503050406030204" pitchFamily="18" charset="0"/>
                  <a:ea typeface="Cambria Math" panose="02040503050406030204" pitchFamily="18" charset="0"/>
                </a:rPr>
                <a:t>×time step×(average baseline real loss per month+Rate of rise in leakage per month×(</a:t>
              </a:r>
              <a:r>
                <a:rPr lang="en-US" sz="1100" b="0" i="0">
                  <a:solidFill>
                    <a:schemeClr val="tx1"/>
                  </a:solidFill>
                  <a:effectLst/>
                  <a:latin typeface="Cambria Math" panose="02040503050406030204" pitchFamily="18" charset="0"/>
                  <a:ea typeface="+mn-ea"/>
                  <a:cs typeface="+mn-cs"/>
                </a:rPr>
                <a:t>month of implementation</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solidFill>
                    <a:schemeClr val="tx1"/>
                  </a:solidFill>
                  <a:effectLst/>
                  <a:latin typeface="Cambria Math" panose="02040503050406030204" pitchFamily="18" charset="0"/>
                  <a:ea typeface="+mn-ea"/>
                  <a:cs typeface="+mn-cs"/>
                </a:rPr>
                <a:t>1/2)</a:t>
              </a:r>
              <a:r>
                <a:rPr lang="en-US" sz="1100" b="0" i="0">
                  <a:latin typeface="Cambria Math" panose="02040503050406030204" pitchFamily="18" charset="0"/>
                  <a:ea typeface="Cambria Math" panose="02040503050406030204" pitchFamily="18" charset="0"/>
                </a:rPr>
                <a:t>×timestep)</a:t>
              </a:r>
              <a:endParaRPr lang="en-US" sz="1100" i="0"/>
            </a:p>
          </xdr:txBody>
        </xdr:sp>
      </mc:Fallback>
    </mc:AlternateContent>
    <xdr:clientData/>
  </xdr:oneCellAnchor>
  <xdr:oneCellAnchor>
    <xdr:from>
      <xdr:col>1</xdr:col>
      <xdr:colOff>48039</xdr:colOff>
      <xdr:row>15</xdr:row>
      <xdr:rowOff>172279</xdr:rowOff>
    </xdr:from>
    <xdr:ext cx="4827412" cy="688458"/>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A70899A4-2B35-4672-83D5-9A6685D95FFE}"/>
                </a:ext>
              </a:extLst>
            </xdr:cNvPr>
            <xdr:cNvSpPr txBox="1"/>
          </xdr:nvSpPr>
          <xdr:spPr>
            <a:xfrm>
              <a:off x="2676939" y="9373429"/>
              <a:ext cx="4827412" cy="6884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Before</a:t>
              </a:r>
              <a:r>
                <a:rPr lang="en-US" sz="1100" b="0" i="0" baseline="0">
                  <a:latin typeface="Cambria Math" panose="02040503050406030204" pitchFamily="18" charset="0"/>
                </a:rPr>
                <a:t> entire system is surveyed once:</a:t>
              </a:r>
              <a:endParaRPr lang="en-US" sz="1100" b="0" i="0">
                <a:latin typeface="Cambria Math" panose="02040503050406030204" pitchFamily="18" charset="0"/>
              </a:endParaRPr>
            </a:p>
            <a:p>
              <a:pPr/>
              <a14:m>
                <m:oMathPara xmlns:m="http://schemas.openxmlformats.org/officeDocument/2006/math">
                  <m:oMathParaPr>
                    <m:jc m:val="left"/>
                  </m:oMathParaPr>
                  <m:oMath xmlns:m="http://schemas.openxmlformats.org/officeDocument/2006/math">
                    <m:f>
                      <m:fPr>
                        <m:ctrlPr>
                          <a:rPr lang="en-US" sz="1100" b="0" i="1">
                            <a:latin typeface="Cambria Math" panose="02040503050406030204" pitchFamily="18" charset="0"/>
                          </a:rPr>
                        </m:ctrlPr>
                      </m:fPr>
                      <m:num>
                        <m:r>
                          <m:rPr>
                            <m:sty m:val="p"/>
                          </m:rPr>
                          <a:rPr lang="en-US" sz="1100" b="0" i="0">
                            <a:solidFill>
                              <a:schemeClr val="tx1"/>
                            </a:solidFill>
                            <a:effectLst/>
                            <a:latin typeface="Cambria Math" panose="02040503050406030204" pitchFamily="18" charset="0"/>
                            <a:ea typeface="+mn-ea"/>
                            <a:cs typeface="+mn-cs"/>
                          </a:rPr>
                          <m:t>Unreported</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leakage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for</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supplier</m:t>
                        </m:r>
                      </m:num>
                      <m:den>
                        <m:r>
                          <m:rPr>
                            <m:sty m:val="p"/>
                          </m:rPr>
                          <a:rPr lang="en-US" sz="1100" b="0" i="0">
                            <a:latin typeface="Cambria Math" panose="02040503050406030204" pitchFamily="18" charset="0"/>
                          </a:rPr>
                          <m:t>Months</m:t>
                        </m:r>
                        <m:r>
                          <a:rPr lang="en-US" sz="1100" b="0" i="0">
                            <a:latin typeface="Cambria Math" panose="02040503050406030204" pitchFamily="18" charset="0"/>
                          </a:rPr>
                          <m:t> </m:t>
                        </m:r>
                        <m:r>
                          <m:rPr>
                            <m:sty m:val="p"/>
                          </m:rPr>
                          <a:rPr lang="en-US" sz="1100" b="0" i="0">
                            <a:latin typeface="Cambria Math" panose="02040503050406030204" pitchFamily="18" charset="0"/>
                          </a:rPr>
                          <m:t>taken</m:t>
                        </m:r>
                        <m:r>
                          <a:rPr lang="en-US" sz="1100" b="0" i="0">
                            <a:latin typeface="Cambria Math" panose="02040503050406030204" pitchFamily="18" charset="0"/>
                          </a:rPr>
                          <m:t> </m:t>
                        </m:r>
                        <m:r>
                          <m:rPr>
                            <m:sty m:val="p"/>
                          </m:rPr>
                          <a:rPr lang="en-US" sz="1100" b="0" i="0">
                            <a:latin typeface="Cambria Math" panose="02040503050406030204" pitchFamily="18" charset="0"/>
                          </a:rPr>
                          <m:t>to</m:t>
                        </m:r>
                        <m:r>
                          <a:rPr lang="en-US" sz="1100" b="0" i="0">
                            <a:latin typeface="Cambria Math" panose="02040503050406030204" pitchFamily="18" charset="0"/>
                          </a:rPr>
                          <m:t> </m:t>
                        </m:r>
                        <m:r>
                          <m:rPr>
                            <m:sty m:val="p"/>
                          </m:rPr>
                          <a:rPr lang="en-US" sz="1100" b="0" i="0">
                            <a:latin typeface="Cambria Math" panose="02040503050406030204" pitchFamily="18" charset="0"/>
                          </a:rPr>
                          <m:t>survey</m:t>
                        </m:r>
                        <m:r>
                          <a:rPr lang="en-US" sz="1100" b="0" i="0">
                            <a:latin typeface="Cambria Math" panose="02040503050406030204" pitchFamily="18" charset="0"/>
                          </a:rPr>
                          <m:t> </m:t>
                        </m:r>
                        <m:r>
                          <m:rPr>
                            <m:sty m:val="p"/>
                          </m:rPr>
                          <a:rPr lang="en-US" sz="1100" b="0" i="0">
                            <a:latin typeface="Cambria Math" panose="02040503050406030204" pitchFamily="18" charset="0"/>
                          </a:rPr>
                          <m:t>whole</m:t>
                        </m:r>
                        <m:r>
                          <a:rPr lang="en-US" sz="1100" b="0" i="0">
                            <a:latin typeface="Cambria Math" panose="02040503050406030204" pitchFamily="18" charset="0"/>
                          </a:rPr>
                          <m:t> </m:t>
                        </m:r>
                        <m:r>
                          <m:rPr>
                            <m:sty m:val="p"/>
                          </m:rPr>
                          <a:rPr lang="en-US" sz="1100" b="0" i="0">
                            <a:latin typeface="Cambria Math" panose="02040503050406030204" pitchFamily="18" charset="0"/>
                          </a:rPr>
                          <m:t>system</m:t>
                        </m:r>
                      </m:den>
                    </m:f>
                  </m:oMath>
                </m:oMathPara>
              </a14:m>
              <a:endParaRPr lang="en-US" sz="1100" b="0" i="0">
                <a:latin typeface="Cambria Math" panose="02040503050406030204" pitchFamily="18" charset="0"/>
              </a:endParaRPr>
            </a:p>
            <a:p>
              <a:pPr/>
              <a14:m>
                <m:oMathPara xmlns:m="http://schemas.openxmlformats.org/officeDocument/2006/math">
                  <m:oMathParaPr>
                    <m:jc m:val="left"/>
                  </m:oMathParaPr>
                  <m:oMath xmlns:m="http://schemas.openxmlformats.org/officeDocument/2006/math">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𝑚𝑜𝑛𝑡h</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𝑜𝑓</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𝑖𝑚𝑝𝑙𝑒𝑚𝑒𝑛𝑡𝑎𝑡𝑖𝑜𝑛</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𝑡𝑖𝑚𝑒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𝑠𝑡𝑒𝑝</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𝑅𝑎𝑡𝑒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𝑜𝑓</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𝑟𝑖𝑠𝑒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𝑙𝑒𝑎𝑘𝑎𝑔𝑒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𝑝𝑒𝑟</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𝑚𝑜𝑛𝑡h</m:t>
                    </m:r>
                  </m:oMath>
                </m:oMathPara>
              </a14:m>
              <a:endParaRPr lang="en-US" sz="1100" i="0"/>
            </a:p>
          </xdr:txBody>
        </xdr:sp>
      </mc:Choice>
      <mc:Fallback xmlns="">
        <xdr:sp macro="" textlink="">
          <xdr:nvSpPr>
            <xdr:cNvPr id="21" name="TextBox 20">
              <a:extLst>
                <a:ext uri="{FF2B5EF4-FFF2-40B4-BE49-F238E27FC236}">
                  <a16:creationId xmlns:a16="http://schemas.microsoft.com/office/drawing/2014/main" id="{A70899A4-2B35-4672-83D5-9A6685D95FFE}"/>
                </a:ext>
              </a:extLst>
            </xdr:cNvPr>
            <xdr:cNvSpPr txBox="1"/>
          </xdr:nvSpPr>
          <xdr:spPr>
            <a:xfrm>
              <a:off x="2676939" y="9373429"/>
              <a:ext cx="4827412" cy="6884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Before</a:t>
              </a:r>
              <a:r>
                <a:rPr lang="en-US" sz="1100" b="0" i="0" baseline="0">
                  <a:latin typeface="Cambria Math" panose="02040503050406030204" pitchFamily="18" charset="0"/>
                </a:rPr>
                <a:t> entire system is surveyed once:</a:t>
              </a:r>
              <a:endParaRPr lang="en-US" sz="1100" b="0" i="0">
                <a:latin typeface="Cambria Math" panose="02040503050406030204" pitchFamily="18" charset="0"/>
              </a:endParaRPr>
            </a:p>
            <a:p>
              <a:pP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Unreported leakage for supplier)/(</a:t>
              </a:r>
              <a:r>
                <a:rPr lang="en-US" sz="1100" b="0" i="0">
                  <a:latin typeface="Cambria Math" panose="02040503050406030204" pitchFamily="18" charset="0"/>
                </a:rPr>
                <a:t>Months taken to survey whole system)</a:t>
              </a:r>
            </a:p>
            <a:p>
              <a:pPr/>
              <a:r>
                <a:rPr lang="en-US" sz="1100" b="0" i="0">
                  <a:latin typeface="Cambria Math" panose="02040503050406030204" pitchFamily="18" charset="0"/>
                  <a:ea typeface="Cambria Math" panose="02040503050406030204" pitchFamily="18" charset="0"/>
                </a:rPr>
                <a:t>+𝑚𝑜𝑛𝑡ℎ 𝑜𝑓 𝑖𝑚𝑝𝑙𝑒𝑚𝑒𝑛𝑡𝑎𝑡𝑖𝑜𝑛×𝑡𝑖𝑚𝑒 𝑠𝑡𝑒𝑝×𝑅𝑎𝑡𝑒 𝑜𝑓 𝑟𝑖𝑠𝑒 𝑖𝑛 𝑙𝑒𝑎𝑘𝑎𝑔𝑒 𝑝𝑒𝑟 𝑚𝑜𝑛𝑡ℎ</a:t>
              </a:r>
              <a:endParaRPr lang="en-US" sz="1100" i="0"/>
            </a:p>
          </xdr:txBody>
        </xdr:sp>
      </mc:Fallback>
    </mc:AlternateContent>
    <xdr:clientData/>
  </xdr:oneCellAnchor>
  <xdr:oneCellAnchor>
    <xdr:from>
      <xdr:col>1</xdr:col>
      <xdr:colOff>39755</xdr:colOff>
      <xdr:row>15</xdr:row>
      <xdr:rowOff>1066800</xdr:rowOff>
    </xdr:from>
    <xdr:ext cx="5173339" cy="337593"/>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3173810C-9A64-4296-953D-6A716509804D}"/>
                </a:ext>
              </a:extLst>
            </xdr:cNvPr>
            <xdr:cNvSpPr txBox="1"/>
          </xdr:nvSpPr>
          <xdr:spPr>
            <a:xfrm>
              <a:off x="2668655" y="10267950"/>
              <a:ext cx="5173339" cy="33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rPr>
                <a:t>After entire system is surveyed once:</a:t>
              </a:r>
            </a:p>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Rate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i="0">
                        <a:latin typeface="Cambria Math" panose="02040503050406030204" pitchFamily="18" charset="0"/>
                      </a:rPr>
                      <m:t>rise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leakage</m:t>
                    </m:r>
                    <m:r>
                      <a:rPr lang="en-US" sz="110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r>
                      <a:rPr lang="en-US" sz="1100" i="0">
                        <a:latin typeface="Cambria Math" panose="02040503050406030204" pitchFamily="18" charset="0"/>
                      </a:rPr>
                      <m:t>×</m:t>
                    </m:r>
                    <m:r>
                      <m:rPr>
                        <m:sty m:val="p"/>
                      </m:rPr>
                      <a:rPr lang="en-US" sz="1100" i="0">
                        <a:latin typeface="Cambria Math" panose="02040503050406030204" pitchFamily="18" charset="0"/>
                      </a:rPr>
                      <m:t>time</m:t>
                    </m:r>
                    <m:r>
                      <a:rPr lang="en-US" sz="1100" i="0">
                        <a:latin typeface="Cambria Math" panose="02040503050406030204" pitchFamily="18" charset="0"/>
                      </a:rPr>
                      <m:t> </m:t>
                    </m:r>
                    <m:r>
                      <m:rPr>
                        <m:sty m:val="p"/>
                      </m:rPr>
                      <a:rPr lang="en-US" sz="1100" i="0">
                        <a:latin typeface="Cambria Math" panose="02040503050406030204" pitchFamily="18" charset="0"/>
                      </a:rPr>
                      <m:t>step</m:t>
                    </m:r>
                    <m:r>
                      <a:rPr lang="en-US" sz="1100" i="0">
                        <a:latin typeface="Cambria Math" panose="02040503050406030204" pitchFamily="18" charset="0"/>
                      </a:rPr>
                      <m:t>×</m:t>
                    </m:r>
                    <m:r>
                      <m:rPr>
                        <m:sty m:val="p"/>
                      </m:rPr>
                      <a:rPr lang="en-US" sz="1100" b="0" i="0">
                        <a:latin typeface="Cambria Math" panose="02040503050406030204" pitchFamily="18" charset="0"/>
                      </a:rPr>
                      <m:t>Months</m:t>
                    </m:r>
                    <m:r>
                      <a:rPr lang="en-US" sz="1100" b="0" i="0">
                        <a:latin typeface="Cambria Math" panose="02040503050406030204" pitchFamily="18" charset="0"/>
                      </a:rPr>
                      <m:t> </m:t>
                    </m:r>
                    <m:r>
                      <m:rPr>
                        <m:sty m:val="p"/>
                      </m:rPr>
                      <a:rPr lang="en-US" sz="1100" b="0" i="0">
                        <a:latin typeface="Cambria Math" panose="02040503050406030204" pitchFamily="18" charset="0"/>
                      </a:rPr>
                      <m:t>taken</m:t>
                    </m:r>
                    <m:r>
                      <a:rPr lang="en-US" sz="1100" b="0" i="0">
                        <a:latin typeface="Cambria Math" panose="02040503050406030204" pitchFamily="18" charset="0"/>
                      </a:rPr>
                      <m:t> </m:t>
                    </m:r>
                    <m:r>
                      <m:rPr>
                        <m:sty m:val="p"/>
                      </m:rPr>
                      <a:rPr lang="en-US" sz="1100" b="0" i="0">
                        <a:latin typeface="Cambria Math" panose="02040503050406030204" pitchFamily="18" charset="0"/>
                      </a:rPr>
                      <m:t>to</m:t>
                    </m:r>
                    <m:r>
                      <a:rPr lang="en-US" sz="1100" b="0" i="0">
                        <a:latin typeface="Cambria Math" panose="02040503050406030204" pitchFamily="18" charset="0"/>
                      </a:rPr>
                      <m:t> </m:t>
                    </m:r>
                    <m:r>
                      <m:rPr>
                        <m:sty m:val="p"/>
                      </m:rPr>
                      <a:rPr lang="en-US" sz="1100" b="0" i="0">
                        <a:latin typeface="Cambria Math" panose="02040503050406030204" pitchFamily="18" charset="0"/>
                      </a:rPr>
                      <m:t>survey</m:t>
                    </m:r>
                    <m:r>
                      <a:rPr lang="en-US" sz="1100" b="0" i="0">
                        <a:latin typeface="Cambria Math" panose="02040503050406030204" pitchFamily="18" charset="0"/>
                      </a:rPr>
                      <m:t> </m:t>
                    </m:r>
                    <m:r>
                      <m:rPr>
                        <m:sty m:val="p"/>
                      </m:rPr>
                      <a:rPr lang="en-US" sz="1100" b="0" i="0">
                        <a:latin typeface="Cambria Math" panose="02040503050406030204" pitchFamily="18" charset="0"/>
                      </a:rPr>
                      <m:t>whole</m:t>
                    </m:r>
                    <m:r>
                      <a:rPr lang="en-US" sz="1100" b="0" i="0">
                        <a:latin typeface="Cambria Math" panose="02040503050406030204" pitchFamily="18" charset="0"/>
                      </a:rPr>
                      <m:t> </m:t>
                    </m:r>
                    <m:r>
                      <m:rPr>
                        <m:sty m:val="p"/>
                      </m:rPr>
                      <a:rPr lang="en-US" sz="1100" b="0" i="0">
                        <a:latin typeface="Cambria Math" panose="02040503050406030204" pitchFamily="18" charset="0"/>
                      </a:rPr>
                      <m:t>system</m:t>
                    </m:r>
                  </m:oMath>
                </m:oMathPara>
              </a14:m>
              <a:endParaRPr lang="en-US" sz="1100" i="0"/>
            </a:p>
          </xdr:txBody>
        </xdr:sp>
      </mc:Choice>
      <mc:Fallback xmlns="">
        <xdr:sp macro="" textlink="">
          <xdr:nvSpPr>
            <xdr:cNvPr id="22" name="TextBox 21">
              <a:extLst>
                <a:ext uri="{FF2B5EF4-FFF2-40B4-BE49-F238E27FC236}">
                  <a16:creationId xmlns:a16="http://schemas.microsoft.com/office/drawing/2014/main" id="{3173810C-9A64-4296-953D-6A716509804D}"/>
                </a:ext>
              </a:extLst>
            </xdr:cNvPr>
            <xdr:cNvSpPr txBox="1"/>
          </xdr:nvSpPr>
          <xdr:spPr>
            <a:xfrm>
              <a:off x="2668655" y="10267950"/>
              <a:ext cx="5173339" cy="33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rPr>
                <a:t>After entire system is surveyed once:</a:t>
              </a:r>
            </a:p>
            <a:p>
              <a:pPr/>
              <a:r>
                <a:rPr lang="en-US" sz="1100" b="0" i="0">
                  <a:latin typeface="Cambria Math" panose="02040503050406030204" pitchFamily="18" charset="0"/>
                </a:rPr>
                <a:t>Rate of </a:t>
              </a:r>
              <a:r>
                <a:rPr lang="en-US" sz="1100" i="0">
                  <a:latin typeface="Cambria Math" panose="02040503050406030204" pitchFamily="18" charset="0"/>
                </a:rPr>
                <a:t>rise in leakage </a:t>
              </a:r>
              <a:r>
                <a:rPr lang="en-US" sz="1100" b="0" i="0">
                  <a:latin typeface="Cambria Math" panose="02040503050406030204" pitchFamily="18" charset="0"/>
                </a:rPr>
                <a:t>per month</a:t>
              </a:r>
              <a:r>
                <a:rPr lang="en-US" sz="1100" i="0">
                  <a:latin typeface="Cambria Math" panose="02040503050406030204" pitchFamily="18" charset="0"/>
                </a:rPr>
                <a:t>×time step×</a:t>
              </a:r>
              <a:r>
                <a:rPr lang="en-US" sz="1100" b="0" i="0">
                  <a:latin typeface="Cambria Math" panose="02040503050406030204" pitchFamily="18" charset="0"/>
                </a:rPr>
                <a:t>Months taken to survey whole system</a:t>
              </a:r>
              <a:endParaRPr lang="en-US" sz="1100" i="0"/>
            </a:p>
          </xdr:txBody>
        </xdr:sp>
      </mc:Fallback>
    </mc:AlternateContent>
    <xdr:clientData/>
  </xdr:oneCellAnchor>
  <xdr:oneCellAnchor>
    <xdr:from>
      <xdr:col>1</xdr:col>
      <xdr:colOff>39755</xdr:colOff>
      <xdr:row>16</xdr:row>
      <xdr:rowOff>56321</xdr:rowOff>
    </xdr:from>
    <xdr:ext cx="2727157" cy="351122"/>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EFC3A5D5-5D3D-4CDD-95F3-5FFB6CFB9DD3}"/>
                </a:ext>
              </a:extLst>
            </xdr:cNvPr>
            <xdr:cNvSpPr txBox="1"/>
          </xdr:nvSpPr>
          <xdr:spPr>
            <a:xfrm>
              <a:off x="2668655" y="10867196"/>
              <a:ext cx="2727157" cy="351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r>
                          <m:rPr>
                            <m:sty m:val="p"/>
                          </m:rPr>
                          <a:rPr lang="en-US" sz="1100" b="0" i="0">
                            <a:latin typeface="Cambria Math" panose="02040503050406030204" pitchFamily="18" charset="0"/>
                          </a:rPr>
                          <m:t>Unreported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num>
                      <m:den>
                        <m:r>
                          <m:rPr>
                            <m:sty m:val="p"/>
                          </m:rPr>
                          <a:rPr lang="en-US" sz="1100" b="0" i="0">
                            <a:latin typeface="Cambria Math" panose="02040503050406030204" pitchFamily="18" charset="0"/>
                          </a:rPr>
                          <m:t>Average</m:t>
                        </m:r>
                        <m:r>
                          <a:rPr lang="en-US" sz="1100" b="0" i="0">
                            <a:latin typeface="Cambria Math" panose="02040503050406030204" pitchFamily="18" charset="0"/>
                          </a:rPr>
                          <m:t> </m:t>
                        </m:r>
                        <m:r>
                          <m:rPr>
                            <m:sty m:val="p"/>
                          </m:rPr>
                          <a:rPr lang="en-US" sz="1100" b="0" i="0">
                            <a:latin typeface="Cambria Math" panose="02040503050406030204" pitchFamily="18" charset="0"/>
                          </a:rPr>
                          <m:t>flow</m:t>
                        </m:r>
                        <m:r>
                          <a:rPr lang="en-US" sz="1100" b="0" i="0">
                            <a:latin typeface="Cambria Math" panose="02040503050406030204" pitchFamily="18" charset="0"/>
                          </a:rPr>
                          <m:t> </m:t>
                        </m:r>
                        <m:r>
                          <m:rPr>
                            <m:sty m:val="p"/>
                          </m:rPr>
                          <a:rPr lang="en-US" sz="1100" b="0" i="0">
                            <a:latin typeface="Cambria Math" panose="02040503050406030204" pitchFamily="18" charset="0"/>
                          </a:rPr>
                          <m:t>rate</m:t>
                        </m:r>
                        <m:r>
                          <a:rPr lang="en-US" sz="1100" b="0" i="0">
                            <a:latin typeface="Cambria Math" panose="02040503050406030204" pitchFamily="18" charset="0"/>
                          </a:rPr>
                          <m:t> </m:t>
                        </m:r>
                        <m:r>
                          <m:rPr>
                            <m:sty m:val="p"/>
                          </m:rPr>
                          <a:rPr lang="en-US" sz="1100" b="0" i="0">
                            <a:latin typeface="Cambria Math" panose="02040503050406030204" pitchFamily="18" charset="0"/>
                          </a:rPr>
                          <m:t>for</m:t>
                        </m:r>
                        <m:r>
                          <a:rPr lang="en-US" sz="1100" b="0" i="0">
                            <a:latin typeface="Cambria Math" panose="02040503050406030204" pitchFamily="18" charset="0"/>
                          </a:rPr>
                          <m:t> </m:t>
                        </m:r>
                        <m:r>
                          <m:rPr>
                            <m:sty m:val="p"/>
                          </m:rPr>
                          <a:rPr lang="en-US" sz="1100" b="0" i="0">
                            <a:latin typeface="Cambria Math" panose="02040503050406030204" pitchFamily="18" charset="0"/>
                          </a:rPr>
                          <m:t>reported</m:t>
                        </m:r>
                        <m:r>
                          <a:rPr lang="en-US" sz="1100" b="0" i="0">
                            <a:latin typeface="Cambria Math" panose="02040503050406030204" pitchFamily="18" charset="0"/>
                          </a:rPr>
                          <m:t> </m:t>
                        </m:r>
                        <m:r>
                          <m:rPr>
                            <m:sty m:val="p"/>
                          </m:rPr>
                          <a:rPr lang="en-US" sz="1100" b="0" i="0">
                            <a:latin typeface="Cambria Math" panose="02040503050406030204" pitchFamily="18" charset="0"/>
                          </a:rPr>
                          <m:t>leaks</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leak</m:t>
                        </m:r>
                      </m:den>
                    </m:f>
                  </m:oMath>
                </m:oMathPara>
              </a14:m>
              <a:endParaRPr lang="en-US" sz="1100" i="0"/>
            </a:p>
          </xdr:txBody>
        </xdr:sp>
      </mc:Choice>
      <mc:Fallback xmlns="">
        <xdr:sp macro="" textlink="">
          <xdr:nvSpPr>
            <xdr:cNvPr id="23" name="TextBox 22">
              <a:extLst>
                <a:ext uri="{FF2B5EF4-FFF2-40B4-BE49-F238E27FC236}">
                  <a16:creationId xmlns:a16="http://schemas.microsoft.com/office/drawing/2014/main" id="{EFC3A5D5-5D3D-4CDD-95F3-5FFB6CFB9DD3}"/>
                </a:ext>
              </a:extLst>
            </xdr:cNvPr>
            <xdr:cNvSpPr txBox="1"/>
          </xdr:nvSpPr>
          <xdr:spPr>
            <a:xfrm>
              <a:off x="2668655" y="10867196"/>
              <a:ext cx="2727157" cy="351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Unreported leakage per month)/(Average flow rate for reported leaks per leak)</a:t>
              </a:r>
              <a:endParaRPr lang="en-US" sz="1100" i="0"/>
            </a:p>
          </xdr:txBody>
        </xdr:sp>
      </mc:Fallback>
    </mc:AlternateContent>
    <xdr:clientData/>
  </xdr:oneCellAnchor>
  <xdr:oneCellAnchor>
    <xdr:from>
      <xdr:col>1</xdr:col>
      <xdr:colOff>89452</xdr:colOff>
      <xdr:row>17</xdr:row>
      <xdr:rowOff>39757</xdr:rowOff>
    </xdr:from>
    <xdr:ext cx="4352666" cy="350481"/>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E6B5F2D-1511-4A80-BE54-0EC6E830BEF4}"/>
                </a:ext>
              </a:extLst>
            </xdr:cNvPr>
            <xdr:cNvSpPr txBox="1"/>
          </xdr:nvSpPr>
          <xdr:spPr>
            <a:xfrm>
              <a:off x="2718352" y="10593457"/>
              <a:ext cx="4352666" cy="350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Leaks</m:t>
                    </m:r>
                    <m:r>
                      <a:rPr lang="en-US" sz="1100" b="0" i="0">
                        <a:latin typeface="Cambria Math" panose="02040503050406030204" pitchFamily="18" charset="0"/>
                      </a:rPr>
                      <m:t> </m:t>
                    </m:r>
                    <m:r>
                      <m:rPr>
                        <m:sty m:val="p"/>
                      </m:rPr>
                      <a:rPr lang="en-US" sz="1100" b="0" i="0">
                        <a:latin typeface="Cambria Math" panose="02040503050406030204" pitchFamily="18" charset="0"/>
                      </a:rPr>
                      <m:t>found</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part</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system</m:t>
                    </m:r>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m:rPr>
                            <m:sty m:val="p"/>
                          </m:rPr>
                          <a:rPr lang="en-US" sz="1100" b="0" i="0">
                            <a:latin typeface="Cambria Math" panose="02040503050406030204" pitchFamily="18" charset="0"/>
                            <a:ea typeface="Cambria Math" panose="02040503050406030204" pitchFamily="18" charset="0"/>
                          </a:rPr>
                          <m:t>Repair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costs</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per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mile</m:t>
                        </m:r>
                      </m:num>
                      <m:den>
                        <m:r>
                          <m:rPr>
                            <m:sty m:val="p"/>
                          </m:rPr>
                          <a:rPr lang="en-US" sz="1100" b="0" i="0">
                            <a:latin typeface="Cambria Math" panose="02040503050406030204" pitchFamily="18" charset="0"/>
                            <a:ea typeface="Cambria Math" panose="02040503050406030204" pitchFamily="18" charset="0"/>
                          </a:rPr>
                          <m:t>Efficiency</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leak</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detection</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equipment</m:t>
                        </m:r>
                      </m:den>
                    </m:f>
                  </m:oMath>
                </m:oMathPara>
              </a14:m>
              <a:endParaRPr lang="en-US" sz="1100" i="0"/>
            </a:p>
          </xdr:txBody>
        </xdr:sp>
      </mc:Choice>
      <mc:Fallback xmlns="">
        <xdr:sp macro="" textlink="">
          <xdr:nvSpPr>
            <xdr:cNvPr id="24" name="TextBox 23">
              <a:extLst>
                <a:ext uri="{FF2B5EF4-FFF2-40B4-BE49-F238E27FC236}">
                  <a16:creationId xmlns:a16="http://schemas.microsoft.com/office/drawing/2014/main" id="{0E6B5F2D-1511-4A80-BE54-0EC6E830BEF4}"/>
                </a:ext>
              </a:extLst>
            </xdr:cNvPr>
            <xdr:cNvSpPr txBox="1"/>
          </xdr:nvSpPr>
          <xdr:spPr>
            <a:xfrm>
              <a:off x="2718352" y="10593457"/>
              <a:ext cx="4352666" cy="350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Leaks found per part of system</a:t>
              </a:r>
              <a:r>
                <a:rPr lang="en-US" sz="1100" b="0" i="0">
                  <a:latin typeface="Cambria Math" panose="02040503050406030204" pitchFamily="18" charset="0"/>
                  <a:ea typeface="Cambria Math" panose="02040503050406030204" pitchFamily="18" charset="0"/>
                </a:rPr>
                <a:t>×(Repair costs per mile)/(Efficiency of leak detection equipment)</a:t>
              </a:r>
              <a:endParaRPr lang="en-US" sz="1100" i="0"/>
            </a:p>
          </xdr:txBody>
        </xdr:sp>
      </mc:Fallback>
    </mc:AlternateContent>
    <xdr:clientData/>
  </xdr:oneCellAnchor>
  <xdr:oneCellAnchor>
    <xdr:from>
      <xdr:col>1</xdr:col>
      <xdr:colOff>123410</xdr:colOff>
      <xdr:row>18</xdr:row>
      <xdr:rowOff>97321</xdr:rowOff>
    </xdr:from>
    <xdr:ext cx="4217886" cy="423001"/>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F3141911-E09E-4073-8EC0-0DDDD4EEFBF5}"/>
                </a:ext>
              </a:extLst>
            </xdr:cNvPr>
            <xdr:cNvSpPr txBox="1"/>
          </xdr:nvSpPr>
          <xdr:spPr>
            <a:xfrm>
              <a:off x="2752310" y="11822596"/>
              <a:ext cx="4217886" cy="423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f>
                      <m:fPr>
                        <m:ctrlPr>
                          <a:rPr lang="en-US" sz="1400" b="0" i="1">
                            <a:latin typeface="Cambria Math" panose="02040503050406030204" pitchFamily="18" charset="0"/>
                            <a:ea typeface="Cambria Math" panose="02040503050406030204" pitchFamily="18" charset="0"/>
                          </a:rPr>
                        </m:ctrlPr>
                      </m:fPr>
                      <m:num>
                        <m:r>
                          <m:rPr>
                            <m:sty m:val="p"/>
                          </m:rPr>
                          <a:rPr lang="en-US" sz="1200" b="0" i="0">
                            <a:solidFill>
                              <a:schemeClr val="tx1"/>
                            </a:solidFill>
                            <a:effectLst/>
                            <a:latin typeface="Cambria Math" panose="02040503050406030204" pitchFamily="18" charset="0"/>
                            <a:ea typeface="+mn-ea"/>
                            <a:cs typeface="+mn-cs"/>
                          </a:rPr>
                          <m:t>Cost</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of</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leak</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repair</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per</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mo</m:t>
                        </m:r>
                        <m:r>
                          <a:rPr lang="en-US" sz="1200" b="0" i="1">
                            <a:solidFill>
                              <a:schemeClr val="tx1"/>
                            </a:solidFill>
                            <a:effectLst/>
                            <a:latin typeface="Cambria Math" panose="02040503050406030204" pitchFamily="18" charset="0"/>
                            <a:ea typeface="+mn-ea"/>
                            <a:cs typeface="+mn-cs"/>
                          </a:rPr>
                          <m:t>𝑛𝑡h</m:t>
                        </m:r>
                      </m:num>
                      <m:den>
                        <m:sSup>
                          <m:sSupPr>
                            <m:ctrlPr>
                              <a:rPr lang="en-US" sz="1200" b="0" i="1">
                                <a:solidFill>
                                  <a:schemeClr val="tx1"/>
                                </a:solidFill>
                                <a:effectLst/>
                                <a:latin typeface="Cambria Math" panose="02040503050406030204" pitchFamily="18" charset="0"/>
                                <a:ea typeface="+mn-ea"/>
                                <a:cs typeface="+mn-cs"/>
                              </a:rPr>
                            </m:ctrlPr>
                          </m:sSupPr>
                          <m:e>
                            <m:d>
                              <m:dPr>
                                <m:ctrlPr>
                                  <a:rPr lang="en-US" sz="1200" b="0" i="1">
                                    <a:solidFill>
                                      <a:schemeClr val="tx1"/>
                                    </a:solidFill>
                                    <a:effectLst/>
                                    <a:latin typeface="Cambria Math" panose="02040503050406030204" pitchFamily="18" charset="0"/>
                                    <a:ea typeface="+mn-ea"/>
                                    <a:cs typeface="+mn-cs"/>
                                  </a:rPr>
                                </m:ctrlPr>
                              </m:dPr>
                              <m:e>
                                <m:r>
                                  <a:rPr lang="en-US" sz="1200" b="0" i="0">
                                    <a:solidFill>
                                      <a:schemeClr val="tx1"/>
                                    </a:solidFill>
                                    <a:effectLst/>
                                    <a:latin typeface="Cambria Math" panose="02040503050406030204" pitchFamily="18" charset="0"/>
                                    <a:ea typeface="+mn-ea"/>
                                    <a:cs typeface="+mn-cs"/>
                                  </a:rPr>
                                  <m:t>1+</m:t>
                                </m:r>
                                <m:r>
                                  <m:rPr>
                                    <m:sty m:val="p"/>
                                  </m:rPr>
                                  <a:rPr lang="en-US" sz="1200" b="0" i="0">
                                    <a:solidFill>
                                      <a:schemeClr val="tx1"/>
                                    </a:solidFill>
                                    <a:effectLst/>
                                    <a:latin typeface="Cambria Math" panose="02040503050406030204" pitchFamily="18" charset="0"/>
                                    <a:ea typeface="+mn-ea"/>
                                    <a:cs typeface="+mn-cs"/>
                                  </a:rPr>
                                  <m:t>discount</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rate</m:t>
                                </m:r>
                                <m:r>
                                  <a:rPr lang="en-US" sz="1200" b="0" i="0">
                                    <a:solidFill>
                                      <a:schemeClr val="tx1"/>
                                    </a:solidFill>
                                    <a:effectLst/>
                                    <a:latin typeface="Cambria Math" panose="02040503050406030204" pitchFamily="18" charset="0"/>
                                    <a:ea typeface="+mn-ea"/>
                                    <a:cs typeface="+mn-cs"/>
                                  </a:rPr>
                                  <m:t>×</m:t>
                                </m:r>
                                <m:r>
                                  <m:rPr>
                                    <m:sty m:val="p"/>
                                  </m:rPr>
                                  <a:rPr lang="en-US" sz="1200" b="0" i="0">
                                    <a:solidFill>
                                      <a:schemeClr val="tx1"/>
                                    </a:solidFill>
                                    <a:effectLst/>
                                    <a:latin typeface="Cambria Math" panose="02040503050406030204" pitchFamily="18" charset="0"/>
                                    <a:ea typeface="+mn-ea"/>
                                    <a:cs typeface="+mn-cs"/>
                                  </a:rPr>
                                  <m:t>time</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step</m:t>
                                </m:r>
                              </m:e>
                            </m:d>
                          </m:e>
                          <m:sup>
                            <m:d>
                              <m:dPr>
                                <m:ctrlPr>
                                  <a:rPr lang="en-US" sz="1200" b="0" i="1">
                                    <a:solidFill>
                                      <a:schemeClr val="tx1"/>
                                    </a:solidFill>
                                    <a:effectLst/>
                                    <a:latin typeface="Cambria Math" panose="02040503050406030204" pitchFamily="18" charset="0"/>
                                    <a:ea typeface="+mn-ea"/>
                                    <a:cs typeface="+mn-cs"/>
                                  </a:rPr>
                                </m:ctrlPr>
                              </m:dPr>
                              <m:e>
                                <m:r>
                                  <m:rPr>
                                    <m:sty m:val="p"/>
                                  </m:rPr>
                                  <a:rPr lang="en-US" sz="1200" b="0" i="0">
                                    <a:solidFill>
                                      <a:schemeClr val="tx1"/>
                                    </a:solidFill>
                                    <a:effectLst/>
                                    <a:latin typeface="Cambria Math" panose="02040503050406030204" pitchFamily="18" charset="0"/>
                                    <a:ea typeface="+mn-ea"/>
                                    <a:cs typeface="+mn-cs"/>
                                  </a:rPr>
                                  <m:t>time</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step</m:t>
                                </m:r>
                                <m:r>
                                  <a:rPr lang="en-US" sz="1200" b="0" i="0">
                                    <a:solidFill>
                                      <a:schemeClr val="tx1"/>
                                    </a:solidFill>
                                    <a:effectLst/>
                                    <a:latin typeface="Cambria Math" panose="02040503050406030204" pitchFamily="18" charset="0"/>
                                    <a:ea typeface="+mn-ea"/>
                                    <a:cs typeface="+mn-cs"/>
                                  </a:rPr>
                                  <m:t>×</m:t>
                                </m:r>
                                <m:r>
                                  <m:rPr>
                                    <m:sty m:val="p"/>
                                  </m:rPr>
                                  <a:rPr lang="en-US" sz="1200" b="0" i="0">
                                    <a:solidFill>
                                      <a:schemeClr val="tx1"/>
                                    </a:solidFill>
                                    <a:effectLst/>
                                    <a:latin typeface="Cambria Math" panose="02040503050406030204" pitchFamily="18" charset="0"/>
                                    <a:ea typeface="+mn-ea"/>
                                    <a:cs typeface="+mn-cs"/>
                                  </a:rPr>
                                  <m:t>month</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o</m:t>
                                </m:r>
                                <m:r>
                                  <a:rPr lang="en-US" sz="1200" b="0" i="1">
                                    <a:solidFill>
                                      <a:schemeClr val="tx1"/>
                                    </a:solidFill>
                                    <a:effectLst/>
                                    <a:latin typeface="Cambria Math" panose="02040503050406030204" pitchFamily="18" charset="0"/>
                                    <a:ea typeface="+mn-ea"/>
                                    <a:cs typeface="+mn-cs"/>
                                  </a:rPr>
                                  <m:t>𝑓</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𝑖𝑚𝑝𝑙𝑒𝑚𝑒𝑛𝑡𝑎𝑡𝑖𝑜𝑛</m:t>
                                </m:r>
                              </m:e>
                            </m:d>
                          </m:sup>
                        </m:sSup>
                      </m:den>
                    </m:f>
                  </m:oMath>
                </m:oMathPara>
              </a14:m>
              <a:endParaRPr lang="en-US" sz="1400" i="0"/>
            </a:p>
          </xdr:txBody>
        </xdr:sp>
      </mc:Choice>
      <mc:Fallback xmlns="">
        <xdr:sp macro="" textlink="">
          <xdr:nvSpPr>
            <xdr:cNvPr id="25" name="TextBox 24">
              <a:extLst>
                <a:ext uri="{FF2B5EF4-FFF2-40B4-BE49-F238E27FC236}">
                  <a16:creationId xmlns:a16="http://schemas.microsoft.com/office/drawing/2014/main" id="{F3141911-E09E-4073-8EC0-0DDDD4EEFBF5}"/>
                </a:ext>
              </a:extLst>
            </xdr:cNvPr>
            <xdr:cNvSpPr txBox="1"/>
          </xdr:nvSpPr>
          <xdr:spPr>
            <a:xfrm>
              <a:off x="2752310" y="11822596"/>
              <a:ext cx="4217886" cy="423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4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Cost of leak repair per mo𝑛𝑡ℎ</a:t>
              </a:r>
              <a:r>
                <a:rPr lang="en-US" sz="1400" b="0" i="0">
                  <a:solidFill>
                    <a:schemeClr val="tx1"/>
                  </a:solidFill>
                  <a:effectLst/>
                  <a:latin typeface="Cambria Math" panose="02040503050406030204" pitchFamily="18" charset="0"/>
                  <a:ea typeface="Cambria Math" panose="02040503050406030204" pitchFamily="18" charset="0"/>
                  <a:cs typeface="+mn-cs"/>
                </a:rPr>
                <a:t>)/</a:t>
              </a:r>
              <a:r>
                <a:rPr lang="en-US" sz="1200" b="0" i="0">
                  <a:solidFill>
                    <a:schemeClr val="tx1"/>
                  </a:solidFill>
                  <a:effectLst/>
                  <a:latin typeface="Cambria Math" panose="02040503050406030204" pitchFamily="18" charset="0"/>
                  <a:ea typeface="+mn-ea"/>
                  <a:cs typeface="+mn-cs"/>
                </a:rPr>
                <a:t>(1+discount rate×time step)^((time step×month o𝑓 𝑖𝑚𝑝𝑙𝑒𝑚𝑒𝑛𝑡𝑎𝑡𝑖𝑜𝑛) ) </a:t>
              </a:r>
              <a:endParaRPr lang="en-US" sz="1400" i="0"/>
            </a:p>
          </xdr:txBody>
        </xdr:sp>
      </mc:Fallback>
    </mc:AlternateContent>
    <xdr:clientData/>
  </xdr:oneCellAnchor>
  <xdr:oneCellAnchor>
    <xdr:from>
      <xdr:col>1</xdr:col>
      <xdr:colOff>67503</xdr:colOff>
      <xdr:row>20</xdr:row>
      <xdr:rowOff>78270</xdr:rowOff>
    </xdr:from>
    <xdr:ext cx="9061174" cy="588065"/>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F032EEA2-F944-4BCF-BD73-E94F7FD226E9}"/>
                </a:ext>
              </a:extLst>
            </xdr:cNvPr>
            <xdr:cNvSpPr txBox="1"/>
          </xdr:nvSpPr>
          <xdr:spPr>
            <a:xfrm>
              <a:off x="2696403" y="12175020"/>
              <a:ext cx="9061174" cy="588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f>
                      <m:fPr>
                        <m:ctrlPr>
                          <a:rPr lang="en-US" sz="1100" b="0" i="1">
                            <a:solidFill>
                              <a:schemeClr val="tx1"/>
                            </a:solidFill>
                            <a:effectLst/>
                            <a:latin typeface="Cambria Math" panose="02040503050406030204" pitchFamily="18" charset="0"/>
                            <a:ea typeface="+mn-ea"/>
                            <a:cs typeface="+mn-cs"/>
                          </a:rPr>
                        </m:ctrlPr>
                      </m:fPr>
                      <m:num>
                        <m:r>
                          <m:rPr>
                            <m:sty m:val="p"/>
                          </m:rPr>
                          <a:rPr lang="en-US" sz="1100" b="0" i="0">
                            <a:solidFill>
                              <a:schemeClr val="tx1"/>
                            </a:solidFill>
                            <a:effectLst/>
                            <a:latin typeface="Cambria Math" panose="02040503050406030204" pitchFamily="18" charset="0"/>
                            <a:ea typeface="+mn-ea"/>
                            <a:cs typeface="+mn-cs"/>
                          </a:rPr>
                          <m:t>Avoided</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cost</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alternative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supplies</m:t>
                        </m:r>
                      </m:num>
                      <m:den>
                        <m:d>
                          <m:dPr>
                            <m:ctrlPr>
                              <a:rPr lang="en-US" sz="1100" b="0" i="1">
                                <a:solidFill>
                                  <a:schemeClr val="tx1"/>
                                </a:solidFill>
                                <a:effectLst/>
                                <a:latin typeface="Cambria Math" panose="02040503050406030204" pitchFamily="18" charset="0"/>
                                <a:ea typeface="+mn-ea"/>
                                <a:cs typeface="+mn-cs"/>
                              </a:rPr>
                            </m:ctrlPr>
                          </m:dPr>
                          <m:e>
                            <m:r>
                              <a:rPr lang="en-US" sz="1100" b="0" i="0">
                                <a:solidFill>
                                  <a:schemeClr val="tx1"/>
                                </a:solidFill>
                                <a:effectLst/>
                                <a:latin typeface="Cambria Math" panose="02040503050406030204" pitchFamily="18" charset="0"/>
                                <a:ea typeface="+mn-ea"/>
                                <a:cs typeface="+mn-cs"/>
                              </a:rPr>
                              <m:t>1+</m:t>
                            </m:r>
                            <m:r>
                              <m:rPr>
                                <m:sty m:val="p"/>
                              </m:rPr>
                              <a:rPr lang="en-US" sz="1100" b="0" i="0">
                                <a:solidFill>
                                  <a:schemeClr val="tx1"/>
                                </a:solidFill>
                                <a:effectLst/>
                                <a:latin typeface="Cambria Math" panose="02040503050406030204" pitchFamily="18" charset="0"/>
                                <a:ea typeface="+mn-ea"/>
                                <a:cs typeface="+mn-cs"/>
                              </a:rPr>
                              <m:t>Average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annual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rise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price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water</m:t>
                            </m:r>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current</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incremental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time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step</m:t>
                            </m:r>
                            <m:r>
                              <a:rPr lang="en-US" sz="1100" b="0" i="0">
                                <a:solidFill>
                                  <a:schemeClr val="tx1"/>
                                </a:solidFill>
                                <a:effectLst/>
                                <a:latin typeface="Cambria Math" panose="02040503050406030204" pitchFamily="18" charset="0"/>
                                <a:ea typeface="+mn-ea"/>
                                <a:cs typeface="+mn-cs"/>
                              </a:rPr>
                              <m:t>×24 </m:t>
                            </m:r>
                            <m:r>
                              <m:rPr>
                                <m:sty m:val="p"/>
                              </m:rPr>
                              <a:rPr lang="en-US" sz="1100" b="0" i="0">
                                <a:solidFill>
                                  <a:schemeClr val="tx1"/>
                                </a:solidFill>
                                <a:effectLst/>
                                <a:latin typeface="Cambria Math" panose="02040503050406030204" pitchFamily="18" charset="0"/>
                                <a:ea typeface="+mn-ea"/>
                                <a:cs typeface="+mn-cs"/>
                              </a:rPr>
                              <m:t>months</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from</m:t>
                            </m:r>
                            <m:r>
                              <a:rPr lang="en-US" sz="1100" b="0" i="0">
                                <a:solidFill>
                                  <a:schemeClr val="tx1"/>
                                </a:solidFill>
                                <a:effectLst/>
                                <a:latin typeface="Cambria Math" panose="02040503050406030204" pitchFamily="18" charset="0"/>
                                <a:ea typeface="+mn-ea"/>
                                <a:cs typeface="+mn-cs"/>
                              </a:rPr>
                              <m:t> 2020×</m:t>
                            </m:r>
                            <m:r>
                              <m:rPr>
                                <m:sty m:val="p"/>
                              </m:rPr>
                              <a:rPr lang="en-US" sz="1100" b="0" i="0">
                                <a:solidFill>
                                  <a:schemeClr val="tx1"/>
                                </a:solidFill>
                                <a:effectLst/>
                                <a:latin typeface="Cambria Math" panose="02040503050406030204" pitchFamily="18" charset="0"/>
                                <a:ea typeface="+mn-ea"/>
                                <a:cs typeface="+mn-cs"/>
                              </a:rPr>
                              <m:t>time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step</m:t>
                            </m:r>
                          </m:e>
                        </m:d>
                      </m:den>
                    </m:f>
                  </m:oMath>
                </m:oMathPara>
              </a14:m>
              <a:endParaRPr lang="en-US" sz="1100" i="0"/>
            </a:p>
          </xdr:txBody>
        </xdr:sp>
      </mc:Choice>
      <mc:Fallback xmlns="">
        <xdr:sp macro="" textlink="">
          <xdr:nvSpPr>
            <xdr:cNvPr id="26" name="TextBox 25">
              <a:extLst>
                <a:ext uri="{FF2B5EF4-FFF2-40B4-BE49-F238E27FC236}">
                  <a16:creationId xmlns:a16="http://schemas.microsoft.com/office/drawing/2014/main" id="{F032EEA2-F944-4BCF-BD73-E94F7FD226E9}"/>
                </a:ext>
              </a:extLst>
            </xdr:cNvPr>
            <xdr:cNvSpPr txBox="1"/>
          </xdr:nvSpPr>
          <xdr:spPr>
            <a:xfrm>
              <a:off x="2696403" y="12175020"/>
              <a:ext cx="9061174" cy="588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b="0" i="0">
                  <a:solidFill>
                    <a:schemeClr val="tx1"/>
                  </a:solidFill>
                  <a:effectLst/>
                  <a:latin typeface="+mn-lt"/>
                  <a:ea typeface="+mn-ea"/>
                  <a:cs typeface="+mn-cs"/>
                </a:rPr>
                <a:t>Avoided cost of alternative supplies</a:t>
              </a:r>
              <a:r>
                <a:rPr lang="en-US" sz="1100" b="0" i="0">
                  <a:solidFill>
                    <a:schemeClr val="tx1"/>
                  </a:solidFill>
                  <a:effectLst/>
                  <a:latin typeface="Cambria Math" panose="02040503050406030204" pitchFamily="18" charset="0"/>
                  <a:ea typeface="+mn-ea"/>
                  <a:cs typeface="+mn-cs"/>
                </a:rPr>
                <a:t>)/(</a:t>
              </a:r>
              <a:r>
                <a:rPr lang="en-US" sz="1100" b="0" i="0">
                  <a:solidFill>
                    <a:schemeClr val="tx1"/>
                  </a:solidFill>
                  <a:effectLst/>
                  <a:latin typeface="+mn-lt"/>
                  <a:ea typeface="+mn-ea"/>
                  <a:cs typeface="+mn-cs"/>
                </a:rPr>
                <a:t>(1+Average annual rise in price of water×current incremental time step×24 months from 2020×time step)</a:t>
              </a:r>
              <a:r>
                <a:rPr lang="en-US" sz="1100" b="0" i="0">
                  <a:solidFill>
                    <a:schemeClr val="tx1"/>
                  </a:solidFill>
                  <a:effectLst/>
                  <a:latin typeface="Cambria Math" panose="02040503050406030204" pitchFamily="18" charset="0"/>
                  <a:ea typeface="+mn-ea"/>
                  <a:cs typeface="+mn-cs"/>
                </a:rPr>
                <a:t> )</a:t>
              </a:r>
              <a:endParaRPr lang="en-US" sz="1100" i="0"/>
            </a:p>
          </xdr:txBody>
        </xdr:sp>
      </mc:Fallback>
    </mc:AlternateContent>
    <xdr:clientData/>
  </xdr:oneCellAnchor>
  <xdr:oneCellAnchor>
    <xdr:from>
      <xdr:col>1</xdr:col>
      <xdr:colOff>114299</xdr:colOff>
      <xdr:row>21</xdr:row>
      <xdr:rowOff>271669</xdr:rowOff>
    </xdr:from>
    <xdr:ext cx="5398914" cy="351506"/>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1BBAC410-B5A3-4F9A-BA8F-ED32ED842B05}"/>
                </a:ext>
              </a:extLst>
            </xdr:cNvPr>
            <xdr:cNvSpPr txBox="1"/>
          </xdr:nvSpPr>
          <xdr:spPr>
            <a:xfrm>
              <a:off x="2743199" y="13701919"/>
              <a:ext cx="5398914"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f>
                      <m:fPr>
                        <m:ctrlPr>
                          <a:rPr lang="en-US" sz="1100" b="0" i="1">
                            <a:latin typeface="Cambria Math" panose="02040503050406030204" pitchFamily="18" charset="0"/>
                          </a:rPr>
                        </m:ctrlPr>
                      </m:fPr>
                      <m:num>
                        <m:r>
                          <m:rPr>
                            <m:sty m:val="p"/>
                          </m:rPr>
                          <a:rPr lang="en-US" sz="1100" b="0" i="0">
                            <a:solidFill>
                              <a:schemeClr val="tx1"/>
                            </a:solidFill>
                            <a:effectLst/>
                            <a:latin typeface="Cambria Math" panose="02040503050406030204" pitchFamily="18" charset="0"/>
                            <a:ea typeface="+mn-ea"/>
                            <a:cs typeface="+mn-cs"/>
                          </a:rPr>
                          <m:t>Avoided</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cost</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alternative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supplies</m:t>
                        </m:r>
                      </m:num>
                      <m:den>
                        <m:d>
                          <m:dPr>
                            <m:ctrlPr>
                              <a:rPr lang="en-US" sz="1100" b="0" i="1">
                                <a:solidFill>
                                  <a:schemeClr val="tx1"/>
                                </a:solidFill>
                                <a:effectLst/>
                                <a:latin typeface="Cambria Math" panose="02040503050406030204" pitchFamily="18" charset="0"/>
                                <a:ea typeface="+mn-ea"/>
                                <a:cs typeface="+mn-cs"/>
                              </a:rPr>
                            </m:ctrlPr>
                          </m:dPr>
                          <m:e>
                            <m:r>
                              <a:rPr lang="en-US" sz="1100" b="0" i="0">
                                <a:solidFill>
                                  <a:schemeClr val="tx1"/>
                                </a:solidFill>
                                <a:effectLst/>
                                <a:latin typeface="Cambria Math" panose="02040503050406030204" pitchFamily="18" charset="0"/>
                                <a:ea typeface="+mn-ea"/>
                                <a:cs typeface="+mn-cs"/>
                              </a:rPr>
                              <m:t>1+</m:t>
                            </m:r>
                            <m:r>
                              <m:rPr>
                                <m:sty m:val="p"/>
                              </m:rPr>
                              <a:rPr lang="en-US" sz="1100" b="0" i="0">
                                <a:solidFill>
                                  <a:schemeClr val="tx1"/>
                                </a:solidFill>
                                <a:effectLst/>
                                <a:latin typeface="Cambria Math" panose="02040503050406030204" pitchFamily="18" charset="0"/>
                                <a:ea typeface="+mn-ea"/>
                                <a:cs typeface="+mn-cs"/>
                              </a:rPr>
                              <m:t>Average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annual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rise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price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water</m:t>
                            </m:r>
                            <m:r>
                              <a:rPr lang="en-US" sz="1100" b="0" i="0">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r>
                                  <a:rPr lang="en-US" sz="1100" b="0" i="0">
                                    <a:solidFill>
                                      <a:schemeClr val="tx1"/>
                                    </a:solidFill>
                                    <a:effectLst/>
                                    <a:latin typeface="Cambria Math" panose="02040503050406030204" pitchFamily="18" charset="0"/>
                                    <a:ea typeface="+mn-ea"/>
                                    <a:cs typeface="+mn-cs"/>
                                  </a:rPr>
                                  <m:t>−1</m:t>
                                </m:r>
                              </m:e>
                            </m:d>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time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step</m:t>
                            </m:r>
                          </m:e>
                        </m:d>
                      </m:den>
                    </m:f>
                  </m:oMath>
                </m:oMathPara>
              </a14:m>
              <a:endParaRPr lang="en-US" sz="1100" i="0"/>
            </a:p>
          </xdr:txBody>
        </xdr:sp>
      </mc:Choice>
      <mc:Fallback xmlns="">
        <xdr:sp macro="" textlink="">
          <xdr:nvSpPr>
            <xdr:cNvPr id="28" name="TextBox 27">
              <a:extLst>
                <a:ext uri="{FF2B5EF4-FFF2-40B4-BE49-F238E27FC236}">
                  <a16:creationId xmlns:a16="http://schemas.microsoft.com/office/drawing/2014/main" id="{1BBAC410-B5A3-4F9A-BA8F-ED32ED842B05}"/>
                </a:ext>
              </a:extLst>
            </xdr:cNvPr>
            <xdr:cNvSpPr txBox="1"/>
          </xdr:nvSpPr>
          <xdr:spPr>
            <a:xfrm>
              <a:off x="2743199" y="13701919"/>
              <a:ext cx="5398914"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Avoided cost of alternative supplies)/((1+Average annual rise in price of water×(month of implementation−1)×time step) )</a:t>
              </a:r>
              <a:endParaRPr lang="en-US" sz="1100" i="0"/>
            </a:p>
          </xdr:txBody>
        </xdr:sp>
      </mc:Fallback>
    </mc:AlternateContent>
    <xdr:clientData/>
  </xdr:oneCellAnchor>
  <xdr:oneCellAnchor>
    <xdr:from>
      <xdr:col>1</xdr:col>
      <xdr:colOff>39757</xdr:colOff>
      <xdr:row>22</xdr:row>
      <xdr:rowOff>122583</xdr:rowOff>
    </xdr:from>
    <xdr:ext cx="5889817" cy="172227"/>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945ED4D-4F9E-48DD-ACAE-1FA1BC837241}"/>
                </a:ext>
              </a:extLst>
            </xdr:cNvPr>
            <xdr:cNvSpPr txBox="1"/>
          </xdr:nvSpPr>
          <xdr:spPr>
            <a:xfrm>
              <a:off x="2668657" y="13752858"/>
              <a:ext cx="58898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Water</m:t>
                    </m:r>
                    <m:r>
                      <a:rPr lang="en-US" sz="1100" b="0" i="0">
                        <a:latin typeface="Cambria Math" panose="02040503050406030204" pitchFamily="18" charset="0"/>
                      </a:rPr>
                      <m:t> </m:t>
                    </m:r>
                    <m:r>
                      <m:rPr>
                        <m:sty m:val="p"/>
                      </m:rPr>
                      <a:rPr lang="en-US" sz="1100" b="0" i="0">
                        <a:latin typeface="Cambria Math" panose="02040503050406030204" pitchFamily="18" charset="0"/>
                      </a:rPr>
                      <m:t>saved</m:t>
                    </m:r>
                    <m:r>
                      <a:rPr lang="en-US" sz="1100" b="0" i="0">
                        <a:latin typeface="Cambria Math" panose="02040503050406030204" pitchFamily="18" charset="0"/>
                      </a:rPr>
                      <m:t> </m:t>
                    </m:r>
                    <m:r>
                      <m:rPr>
                        <m:sty m:val="p"/>
                      </m:rPr>
                      <a:rPr lang="en-US" sz="1100" b="0" i="0">
                        <a:latin typeface="Cambria Math" panose="02040503050406030204" pitchFamily="18" charset="0"/>
                      </a:rPr>
                      <m:t>due</m:t>
                    </m:r>
                    <m:r>
                      <a:rPr lang="en-US" sz="1100" b="0" i="0">
                        <a:latin typeface="Cambria Math" panose="02040503050406030204" pitchFamily="18" charset="0"/>
                      </a:rPr>
                      <m:t> </m:t>
                    </m:r>
                    <m:r>
                      <m:rPr>
                        <m:sty m:val="p"/>
                      </m:rPr>
                      <a:rPr lang="en-US" sz="1100" b="0" i="0">
                        <a:latin typeface="Cambria Math" panose="02040503050406030204" pitchFamily="18" charset="0"/>
                      </a:rPr>
                      <m:t>to</m:t>
                    </m:r>
                    <m:r>
                      <a:rPr lang="en-US" sz="1100" b="0" i="0">
                        <a:latin typeface="Cambria Math" panose="02040503050406030204" pitchFamily="18" charset="0"/>
                      </a:rPr>
                      <m:t> </m:t>
                    </m:r>
                    <m:r>
                      <m:rPr>
                        <m:sty m:val="p"/>
                      </m:rPr>
                      <a:rPr lang="en-US" sz="1100" b="0" i="0">
                        <a:latin typeface="Cambria Math" panose="02040503050406030204" pitchFamily="18" charset="0"/>
                      </a:rPr>
                      <m:t>water</m:t>
                    </m:r>
                    <m:r>
                      <a:rPr lang="en-US" sz="1100" b="0" i="0">
                        <a:latin typeface="Cambria Math" panose="02040503050406030204" pitchFamily="18" charset="0"/>
                      </a:rPr>
                      <m:t> </m:t>
                    </m:r>
                    <m:r>
                      <m:rPr>
                        <m:sty m:val="p"/>
                      </m:rPr>
                      <a:rPr lang="en-US" sz="1100" b="0" i="0">
                        <a:latin typeface="Cambria Math" panose="02040503050406030204" pitchFamily="18" charset="0"/>
                      </a:rPr>
                      <m:t>loss</m:t>
                    </m:r>
                    <m:r>
                      <a:rPr lang="en-US" sz="1100" b="0" i="0">
                        <a:latin typeface="Cambria Math" panose="02040503050406030204" pitchFamily="18" charset="0"/>
                      </a:rPr>
                      <m:t> </m:t>
                    </m:r>
                    <m:r>
                      <m:rPr>
                        <m:sty m:val="p"/>
                      </m:rPr>
                      <a:rPr lang="en-US" sz="1100" b="0" i="0">
                        <a:latin typeface="Cambria Math" panose="02040503050406030204" pitchFamily="18" charset="0"/>
                      </a:rPr>
                      <m:t>control</m:t>
                    </m:r>
                    <m:r>
                      <a:rPr lang="en-US" sz="1100" b="0" i="0">
                        <a:latin typeface="Cambria Math" panose="02040503050406030204" pitchFamily="18" charset="0"/>
                      </a:rPr>
                      <m:t> </m:t>
                    </m:r>
                    <m:r>
                      <m:rPr>
                        <m:sty m:val="p"/>
                      </m:rPr>
                      <a:rPr lang="en-US" sz="1100" b="0" i="0">
                        <a:latin typeface="Cambria Math" panose="02040503050406030204" pitchFamily="18" charset="0"/>
                      </a:rPr>
                      <m:t>in</m:t>
                    </m:r>
                    <m:r>
                      <a:rPr lang="en-US" sz="1100" b="0" i="0">
                        <a:latin typeface="Cambria Math" panose="02040503050406030204" pitchFamily="18" charset="0"/>
                      </a:rPr>
                      <m:t> </m:t>
                    </m:r>
                    <m:r>
                      <m:rPr>
                        <m:sty m:val="p"/>
                      </m:rPr>
                      <a:rPr lang="en-US" sz="1100" b="0" i="0">
                        <a:latin typeface="Cambria Math" panose="02040503050406030204" pitchFamily="18" charset="0"/>
                      </a:rPr>
                      <m:t>each</m:t>
                    </m:r>
                    <m:r>
                      <a:rPr lang="en-US" sz="1100" b="0" i="0">
                        <a:latin typeface="Cambria Math" panose="02040503050406030204" pitchFamily="18" charset="0"/>
                      </a:rPr>
                      <m:t> </m:t>
                    </m:r>
                    <m:r>
                      <m:rPr>
                        <m:sty m:val="p"/>
                      </m:rPr>
                      <a:rPr lang="en-US" sz="1100" b="0" i="0">
                        <a:latin typeface="Cambria Math" panose="02040503050406030204" pitchFamily="18" charset="0"/>
                      </a:rPr>
                      <m:t>time</m:t>
                    </m:r>
                    <m:r>
                      <a:rPr lang="en-US" sz="1100" b="0" i="0">
                        <a:latin typeface="Cambria Math" panose="02040503050406030204" pitchFamily="18" charset="0"/>
                      </a:rPr>
                      <m:t> </m:t>
                    </m:r>
                    <m:r>
                      <m:rPr>
                        <m:sty m:val="p"/>
                      </m:rPr>
                      <a:rPr lang="en-US" sz="1100" b="0" i="0">
                        <a:latin typeface="Cambria Math" panose="02040503050406030204" pitchFamily="18" charset="0"/>
                      </a:rPr>
                      <m:t>step</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Marginal</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cost</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water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in</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each</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time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step</m:t>
                    </m:r>
                  </m:oMath>
                </m:oMathPara>
              </a14:m>
              <a:endParaRPr lang="en-US" sz="1100" i="0"/>
            </a:p>
          </xdr:txBody>
        </xdr:sp>
      </mc:Choice>
      <mc:Fallback xmlns="">
        <xdr:sp macro="" textlink="">
          <xdr:nvSpPr>
            <xdr:cNvPr id="29" name="TextBox 28">
              <a:extLst>
                <a:ext uri="{FF2B5EF4-FFF2-40B4-BE49-F238E27FC236}">
                  <a16:creationId xmlns:a16="http://schemas.microsoft.com/office/drawing/2014/main" id="{0945ED4D-4F9E-48DD-ACAE-1FA1BC837241}"/>
                </a:ext>
              </a:extLst>
            </xdr:cNvPr>
            <xdr:cNvSpPr txBox="1"/>
          </xdr:nvSpPr>
          <xdr:spPr>
            <a:xfrm>
              <a:off x="2668657" y="13752858"/>
              <a:ext cx="58898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Water saved due to water loss control in each time step</a:t>
              </a:r>
              <a:r>
                <a:rPr lang="en-US" sz="1100" b="0" i="0">
                  <a:latin typeface="Cambria Math" panose="02040503050406030204" pitchFamily="18" charset="0"/>
                  <a:ea typeface="Cambria Math" panose="02040503050406030204" pitchFamily="18" charset="0"/>
                </a:rPr>
                <a:t>×Marginal cost of water in each time step</a:t>
              </a:r>
              <a:endParaRPr lang="en-US" sz="1100" i="0"/>
            </a:p>
          </xdr:txBody>
        </xdr:sp>
      </mc:Fallback>
    </mc:AlternateContent>
    <xdr:clientData/>
  </xdr:oneCellAnchor>
  <xdr:oneCellAnchor>
    <xdr:from>
      <xdr:col>1</xdr:col>
      <xdr:colOff>89454</xdr:colOff>
      <xdr:row>23</xdr:row>
      <xdr:rowOff>97735</xdr:rowOff>
    </xdr:from>
    <xdr:ext cx="6457217" cy="172227"/>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AF0D0B59-DFFF-4E05-AAA3-78E84500509F}"/>
                </a:ext>
              </a:extLst>
            </xdr:cNvPr>
            <xdr:cNvSpPr txBox="1"/>
          </xdr:nvSpPr>
          <xdr:spPr>
            <a:xfrm>
              <a:off x="2718354" y="14623360"/>
              <a:ext cx="64572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panose="02040503050406030204" pitchFamily="18" charset="0"/>
                      </a:rPr>
                      <m:t>Value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cost</m:t>
                    </m:r>
                    <m:r>
                      <a:rPr lang="en-US" sz="1100" b="0" i="0">
                        <a:latin typeface="Cambria Math" panose="02040503050406030204" pitchFamily="18" charset="0"/>
                      </a:rPr>
                      <m:t> </m:t>
                    </m:r>
                    <m:r>
                      <m:rPr>
                        <m:sty m:val="p"/>
                      </m:rPr>
                      <a:rPr lang="en-US" sz="1100" b="0" i="0">
                        <a:latin typeface="Cambria Math" panose="02040503050406030204" pitchFamily="18" charset="0"/>
                      </a:rPr>
                      <m:t>associated</m:t>
                    </m:r>
                    <m:r>
                      <a:rPr lang="en-US" sz="1100" b="0" i="0">
                        <a:latin typeface="Cambria Math" panose="02040503050406030204" pitchFamily="18" charset="0"/>
                      </a:rPr>
                      <m:t> </m:t>
                    </m:r>
                    <m:r>
                      <m:rPr>
                        <m:sty m:val="p"/>
                      </m:rPr>
                      <a:rPr lang="en-US" sz="1100" b="0" i="0">
                        <a:latin typeface="Cambria Math" panose="02040503050406030204" pitchFamily="18" charset="0"/>
                      </a:rPr>
                      <m:t>with</m:t>
                    </m:r>
                    <m:r>
                      <a:rPr lang="en-US" sz="1100" b="0" i="0">
                        <a:latin typeface="Cambria Math" panose="02040503050406030204" pitchFamily="18" charset="0"/>
                      </a:rPr>
                      <m:t> </m:t>
                    </m:r>
                    <m:r>
                      <m:rPr>
                        <m:sty m:val="p"/>
                      </m:rPr>
                      <a:rPr lang="en-US" sz="1100" b="0" i="0">
                        <a:latin typeface="Cambria Math" panose="02040503050406030204" pitchFamily="18" charset="0"/>
                      </a:rPr>
                      <m:t>leak</m:t>
                    </m:r>
                    <m:r>
                      <a:rPr lang="en-US" sz="1100" b="0" i="0">
                        <a:latin typeface="Cambria Math" panose="02040503050406030204" pitchFamily="18" charset="0"/>
                      </a:rPr>
                      <m:t> </m:t>
                    </m:r>
                    <m:r>
                      <m:rPr>
                        <m:sty m:val="p"/>
                      </m:rPr>
                      <a:rPr lang="en-US" sz="1100" b="0" i="0">
                        <a:latin typeface="Cambria Math" panose="02040503050406030204" pitchFamily="18" charset="0"/>
                      </a:rPr>
                      <m:t>detection</m:t>
                    </m:r>
                    <m:r>
                      <a:rPr lang="en-US" sz="1100" b="0" i="0">
                        <a:latin typeface="Cambria Math" panose="02040503050406030204" pitchFamily="18" charset="0"/>
                      </a:rPr>
                      <m:t> </m:t>
                    </m:r>
                    <m:r>
                      <m:rPr>
                        <m:sty m:val="p"/>
                      </m:rPr>
                      <a:rPr lang="en-US" sz="1100" b="0" i="0">
                        <a:latin typeface="Cambria Math" panose="02040503050406030204" pitchFamily="18" charset="0"/>
                      </a:rPr>
                      <m:t>and</m:t>
                    </m:r>
                    <m:r>
                      <a:rPr lang="en-US" sz="1100" b="0" i="0">
                        <a:latin typeface="Cambria Math" panose="02040503050406030204" pitchFamily="18" charset="0"/>
                      </a:rPr>
                      <m:t> </m:t>
                    </m:r>
                    <m:r>
                      <m:rPr>
                        <m:sty m:val="p"/>
                      </m:rPr>
                      <a:rPr lang="en-US" sz="1100" b="0" i="0">
                        <a:latin typeface="Cambria Math" panose="02040503050406030204" pitchFamily="18" charset="0"/>
                      </a:rPr>
                      <m:t>repair</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r>
                      <a:rPr lang="en-US" sz="1100" b="0" i="0">
                        <a:latin typeface="Cambria Math" panose="02040503050406030204" pitchFamily="18" charset="0"/>
                      </a:rPr>
                      <m:t>−</m:t>
                    </m:r>
                    <m:r>
                      <m:rPr>
                        <m:sty m:val="p"/>
                      </m:rPr>
                      <a:rPr lang="en-US" sz="1100" b="0" i="0">
                        <a:latin typeface="Cambria Math" panose="02040503050406030204" pitchFamily="18" charset="0"/>
                      </a:rPr>
                      <m:t>Value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water</m:t>
                    </m:r>
                    <m:r>
                      <a:rPr lang="en-US" sz="1100" b="0" i="0">
                        <a:latin typeface="Cambria Math" panose="02040503050406030204" pitchFamily="18" charset="0"/>
                      </a:rPr>
                      <m:t> </m:t>
                    </m:r>
                    <m:r>
                      <m:rPr>
                        <m:sty m:val="p"/>
                      </m:rPr>
                      <a:rPr lang="en-US" sz="1100" b="0" i="0">
                        <a:latin typeface="Cambria Math" panose="02040503050406030204" pitchFamily="18" charset="0"/>
                      </a:rPr>
                      <m:t>loss</m:t>
                    </m:r>
                    <m:r>
                      <a:rPr lang="en-US" sz="1100" b="0" i="0">
                        <a:latin typeface="Cambria Math" panose="02040503050406030204" pitchFamily="18" charset="0"/>
                      </a:rPr>
                      <m:t> </m:t>
                    </m:r>
                    <m:r>
                      <m:rPr>
                        <m:sty m:val="p"/>
                      </m:rPr>
                      <a:rPr lang="en-US" sz="1100" b="0" i="0">
                        <a:latin typeface="Cambria Math" panose="02040503050406030204" pitchFamily="18" charset="0"/>
                      </a:rPr>
                      <m:t>reduced</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oMath>
                </m:oMathPara>
              </a14:m>
              <a:endParaRPr lang="en-US" sz="1100" i="0"/>
            </a:p>
          </xdr:txBody>
        </xdr:sp>
      </mc:Choice>
      <mc:Fallback xmlns="">
        <xdr:sp macro="" textlink="">
          <xdr:nvSpPr>
            <xdr:cNvPr id="30" name="TextBox 29">
              <a:extLst>
                <a:ext uri="{FF2B5EF4-FFF2-40B4-BE49-F238E27FC236}">
                  <a16:creationId xmlns:a16="http://schemas.microsoft.com/office/drawing/2014/main" id="{AF0D0B59-DFFF-4E05-AAA3-78E84500509F}"/>
                </a:ext>
              </a:extLst>
            </xdr:cNvPr>
            <xdr:cNvSpPr txBox="1"/>
          </xdr:nvSpPr>
          <xdr:spPr>
            <a:xfrm>
              <a:off x="2718354" y="14623360"/>
              <a:ext cx="64572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Value of cost associated with leak detection and repair per month−Value of water loss reduced per month</a:t>
              </a:r>
              <a:endParaRPr lang="en-US" sz="1100" i="0"/>
            </a:p>
          </xdr:txBody>
        </xdr:sp>
      </mc:Fallback>
    </mc:AlternateContent>
    <xdr:clientData/>
  </xdr:oneCellAnchor>
  <xdr:oneCellAnchor>
    <xdr:from>
      <xdr:col>1</xdr:col>
      <xdr:colOff>81168</xdr:colOff>
      <xdr:row>27</xdr:row>
      <xdr:rowOff>39757</xdr:rowOff>
    </xdr:from>
    <xdr:ext cx="3626121" cy="350352"/>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F7106D90-3EDB-4497-B296-7D3D041C1C65}"/>
                </a:ext>
              </a:extLst>
            </xdr:cNvPr>
            <xdr:cNvSpPr txBox="1"/>
          </xdr:nvSpPr>
          <xdr:spPr>
            <a:xfrm>
              <a:off x="2710068" y="16660882"/>
              <a:ext cx="3626121"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b="0" i="1">
                            <a:latin typeface="Cambria Math" panose="02040503050406030204" pitchFamily="18" charset="0"/>
                          </a:rPr>
                        </m:ctrlPr>
                      </m:fPr>
                      <m:num>
                        <m:r>
                          <m:rPr>
                            <m:sty m:val="p"/>
                          </m:rPr>
                          <a:rPr lang="en-US" sz="1100" b="0" i="0">
                            <a:solidFill>
                              <a:schemeClr val="tx1"/>
                            </a:solidFill>
                            <a:effectLst/>
                            <a:latin typeface="Cambria Math" panose="02040503050406030204" pitchFamily="18" charset="0"/>
                            <a:ea typeface="+mn-ea"/>
                            <a:cs typeface="+mn-cs"/>
                          </a:rPr>
                          <m:t>Total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present</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value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value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water</m:t>
                        </m:r>
                      </m:num>
                      <m:den>
                        <m:r>
                          <m:rPr>
                            <m:sty m:val="p"/>
                          </m:rPr>
                          <a:rPr lang="en-US" sz="1100" b="0" i="0">
                            <a:latin typeface="Cambria Math" panose="02040503050406030204" pitchFamily="18" charset="0"/>
                          </a:rPr>
                          <m:t>Total</m:t>
                        </m:r>
                        <m:r>
                          <a:rPr lang="en-US" sz="1100" b="0" i="0">
                            <a:latin typeface="Cambria Math" panose="02040503050406030204" pitchFamily="18" charset="0"/>
                          </a:rPr>
                          <m:t> </m:t>
                        </m:r>
                        <m:r>
                          <m:rPr>
                            <m:sty m:val="p"/>
                          </m:rPr>
                          <a:rPr lang="en-US" sz="1100" b="0" i="0">
                            <a:latin typeface="Cambria Math" panose="02040503050406030204" pitchFamily="18" charset="0"/>
                          </a:rPr>
                          <m:t>present</m:t>
                        </m:r>
                        <m:r>
                          <a:rPr lang="en-US" sz="1100" b="0" i="0">
                            <a:latin typeface="Cambria Math" panose="02040503050406030204" pitchFamily="18" charset="0"/>
                          </a:rPr>
                          <m:t> </m:t>
                        </m:r>
                        <m:r>
                          <m:rPr>
                            <m:sty m:val="p"/>
                          </m:rPr>
                          <a:rPr lang="en-US" sz="1100" b="0" i="0">
                            <a:latin typeface="Cambria Math" panose="02040503050406030204" pitchFamily="18" charset="0"/>
                          </a:rPr>
                          <m:t>value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total</m:t>
                        </m:r>
                        <m:r>
                          <a:rPr lang="en-US" sz="1100" b="0" i="0">
                            <a:latin typeface="Cambria Math" panose="02040503050406030204" pitchFamily="18" charset="0"/>
                          </a:rPr>
                          <m:t> </m:t>
                        </m:r>
                        <m:r>
                          <m:rPr>
                            <m:sty m:val="p"/>
                          </m:rPr>
                          <a:rPr lang="en-US" sz="1100" b="0" i="0">
                            <a:latin typeface="Cambria Math" panose="02040503050406030204" pitchFamily="18" charset="0"/>
                          </a:rPr>
                          <m:t>cost</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leak</m:t>
                        </m:r>
                        <m:r>
                          <a:rPr lang="en-US" sz="1100" b="0" i="0">
                            <a:latin typeface="Cambria Math" panose="02040503050406030204" pitchFamily="18" charset="0"/>
                          </a:rPr>
                          <m:t> </m:t>
                        </m:r>
                        <m:r>
                          <m:rPr>
                            <m:sty m:val="p"/>
                          </m:rPr>
                          <a:rPr lang="en-US" sz="1100" b="0" i="0">
                            <a:latin typeface="Cambria Math" panose="02040503050406030204" pitchFamily="18" charset="0"/>
                          </a:rPr>
                          <m:t>detection</m:t>
                        </m:r>
                        <m:r>
                          <a:rPr lang="en-US" sz="1100" b="0" i="0">
                            <a:latin typeface="Cambria Math" panose="02040503050406030204" pitchFamily="18" charset="0"/>
                          </a:rPr>
                          <m:t> </m:t>
                        </m:r>
                        <m:r>
                          <m:rPr>
                            <m:sty m:val="p"/>
                          </m:rPr>
                          <a:rPr lang="en-US" sz="1100" b="0" i="0">
                            <a:latin typeface="Cambria Math" panose="02040503050406030204" pitchFamily="18" charset="0"/>
                          </a:rPr>
                          <m:t>and</m:t>
                        </m:r>
                        <m:r>
                          <a:rPr lang="en-US" sz="1100" b="0" i="0">
                            <a:latin typeface="Cambria Math" panose="02040503050406030204" pitchFamily="18" charset="0"/>
                          </a:rPr>
                          <m:t> </m:t>
                        </m:r>
                        <m:r>
                          <m:rPr>
                            <m:sty m:val="p"/>
                          </m:rPr>
                          <a:rPr lang="en-US" sz="1100" b="0" i="0">
                            <a:latin typeface="Cambria Math" panose="02040503050406030204" pitchFamily="18" charset="0"/>
                          </a:rPr>
                          <m:t>repair</m:t>
                        </m:r>
                      </m:den>
                    </m:f>
                    <m:r>
                      <a:rPr lang="en-US" sz="1100" b="0" i="0">
                        <a:latin typeface="Cambria Math" panose="02040503050406030204" pitchFamily="18" charset="0"/>
                      </a:rPr>
                      <m:t> </m:t>
                    </m:r>
                  </m:oMath>
                </m:oMathPara>
              </a14:m>
              <a:endParaRPr lang="en-US" sz="1100" i="0"/>
            </a:p>
          </xdr:txBody>
        </xdr:sp>
      </mc:Choice>
      <mc:Fallback xmlns="">
        <xdr:sp macro="" textlink="">
          <xdr:nvSpPr>
            <xdr:cNvPr id="34" name="TextBox 33">
              <a:extLst>
                <a:ext uri="{FF2B5EF4-FFF2-40B4-BE49-F238E27FC236}">
                  <a16:creationId xmlns:a16="http://schemas.microsoft.com/office/drawing/2014/main" id="{F7106D90-3EDB-4497-B296-7D3D041C1C65}"/>
                </a:ext>
              </a:extLst>
            </xdr:cNvPr>
            <xdr:cNvSpPr txBox="1"/>
          </xdr:nvSpPr>
          <xdr:spPr>
            <a:xfrm>
              <a:off x="2710068" y="16660882"/>
              <a:ext cx="3626121"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a:t>
              </a:r>
              <a:r>
                <a:rPr lang="en-US" sz="1100" b="0" i="0">
                  <a:solidFill>
                    <a:schemeClr val="tx1"/>
                  </a:solidFill>
                  <a:effectLst/>
                  <a:latin typeface="+mn-lt"/>
                  <a:ea typeface="+mn-ea"/>
                  <a:cs typeface="+mn-cs"/>
                </a:rPr>
                <a:t>Total present value of value of water</a:t>
              </a:r>
              <a:r>
                <a:rPr lang="en-US" sz="1100" b="0" i="0">
                  <a:solidFill>
                    <a:schemeClr val="tx1"/>
                  </a:solidFill>
                  <a:effectLst/>
                  <a:latin typeface="Cambria Math" panose="02040503050406030204" pitchFamily="18" charset="0"/>
                  <a:ea typeface="+mn-ea"/>
                  <a:cs typeface="+mn-cs"/>
                </a:rPr>
                <a:t>)/(</a:t>
              </a:r>
              <a:r>
                <a:rPr lang="en-US" sz="1100" b="0" i="0">
                  <a:latin typeface="Cambria Math" panose="02040503050406030204" pitchFamily="18" charset="0"/>
                </a:rPr>
                <a:t>Total present value of total cost of leak detection and repair)  </a:t>
              </a:r>
              <a:endParaRPr lang="en-US" sz="1100" i="0"/>
            </a:p>
          </xdr:txBody>
        </xdr:sp>
      </mc:Fallback>
    </mc:AlternateContent>
    <xdr:clientData/>
  </xdr:oneCellAnchor>
  <xdr:oneCellAnchor>
    <xdr:from>
      <xdr:col>1</xdr:col>
      <xdr:colOff>104775</xdr:colOff>
      <xdr:row>12</xdr:row>
      <xdr:rowOff>76200</xdr:rowOff>
    </xdr:from>
    <xdr:ext cx="6616555" cy="675185"/>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FC272743-E9F6-4378-BCAF-22846B088B73}"/>
                </a:ext>
              </a:extLst>
            </xdr:cNvPr>
            <xdr:cNvSpPr txBox="1"/>
          </xdr:nvSpPr>
          <xdr:spPr>
            <a:xfrm>
              <a:off x="2733675" y="6991350"/>
              <a:ext cx="6616555" cy="67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14:m>
                <m:oMathPara xmlns:m="http://schemas.openxmlformats.org/officeDocument/2006/math">
                  <m:oMathParaPr>
                    <m:jc m:val="left"/>
                  </m:oMathParaPr>
                  <m:oMath xmlns:m="http://schemas.openxmlformats.org/officeDocument/2006/math">
                    <m:r>
                      <m:rPr>
                        <m:sty m:val="p"/>
                      </m:rPr>
                      <a:rPr lang="en-US" sz="1100" i="0">
                        <a:latin typeface="Cambria Math" panose="02040503050406030204" pitchFamily="18" charset="0"/>
                      </a:rPr>
                      <m:t>Water</m:t>
                    </m:r>
                    <m:r>
                      <a:rPr lang="en-US" sz="1100" i="0">
                        <a:latin typeface="Cambria Math" panose="02040503050406030204" pitchFamily="18" charset="0"/>
                      </a:rPr>
                      <m:t> </m:t>
                    </m:r>
                    <m:r>
                      <m:rPr>
                        <m:sty m:val="p"/>
                      </m:rPr>
                      <a:rPr lang="en-US" sz="1100" i="0">
                        <a:latin typeface="Cambria Math" panose="02040503050406030204" pitchFamily="18" charset="0"/>
                      </a:rPr>
                      <m:t>loss</m:t>
                    </m:r>
                    <m:r>
                      <a:rPr lang="en-US" sz="1100" i="0">
                        <a:latin typeface="Cambria Math" panose="02040503050406030204" pitchFamily="18" charset="0"/>
                      </a:rPr>
                      <m:t> </m:t>
                    </m:r>
                    <m:r>
                      <m:rPr>
                        <m:sty m:val="p"/>
                      </m:rPr>
                      <a:rPr lang="en-US" sz="1100" i="0">
                        <a:latin typeface="Cambria Math" panose="02040503050406030204" pitchFamily="18" charset="0"/>
                      </a:rPr>
                      <m:t>due</m:t>
                    </m:r>
                    <m:r>
                      <a:rPr lang="en-US" sz="1100" i="0">
                        <a:latin typeface="Cambria Math" panose="02040503050406030204" pitchFamily="18" charset="0"/>
                      </a:rPr>
                      <m:t> </m:t>
                    </m:r>
                    <m:r>
                      <m:rPr>
                        <m:sty m:val="p"/>
                      </m:rPr>
                      <a:rPr lang="en-US" sz="1100" i="0">
                        <a:latin typeface="Cambria Math" panose="02040503050406030204" pitchFamily="18" charset="0"/>
                      </a:rPr>
                      <m:t>to</m:t>
                    </m:r>
                    <m:r>
                      <a:rPr lang="en-US" sz="1100" i="0">
                        <a:latin typeface="Cambria Math" panose="02040503050406030204" pitchFamily="18" charset="0"/>
                      </a:rPr>
                      <m:t> </m:t>
                    </m:r>
                    <m:r>
                      <m:rPr>
                        <m:sty m:val="p"/>
                      </m:rPr>
                      <a:rPr lang="en-US" sz="1100" i="0">
                        <a:latin typeface="Cambria Math" panose="02040503050406030204" pitchFamily="18" charset="0"/>
                      </a:rPr>
                      <m:t>backlog</m:t>
                    </m:r>
                    <m:r>
                      <a:rPr lang="en-US" sz="1100" i="0">
                        <a:latin typeface="Cambria Math" panose="02040503050406030204" pitchFamily="18" charset="0"/>
                      </a:rPr>
                      <m:t> </m:t>
                    </m:r>
                    <m:r>
                      <m:rPr>
                        <m:sty m:val="p"/>
                      </m:rPr>
                      <a:rPr lang="en-US" sz="1100" i="0">
                        <a:latin typeface="Cambria Math" panose="02040503050406030204" pitchFamily="18" charset="0"/>
                      </a:rPr>
                      <m:t>of</m:t>
                    </m:r>
                    <m:r>
                      <a:rPr lang="en-US" sz="1100" i="0">
                        <a:latin typeface="Cambria Math" panose="02040503050406030204" pitchFamily="18" charset="0"/>
                      </a:rPr>
                      <m:t> </m:t>
                    </m:r>
                    <m:r>
                      <m:rPr>
                        <m:sty m:val="p"/>
                      </m:rPr>
                      <a:rPr lang="en-US" sz="1100" i="0">
                        <a:latin typeface="Cambria Math" panose="02040503050406030204" pitchFamily="18" charset="0"/>
                      </a:rPr>
                      <m:t>leakage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unsurveyed</m:t>
                    </m:r>
                    <m:r>
                      <a:rPr lang="en-US" sz="1100" i="0">
                        <a:latin typeface="Cambria Math" panose="02040503050406030204" pitchFamily="18" charset="0"/>
                      </a:rPr>
                      <m:t> </m:t>
                    </m:r>
                    <m:r>
                      <m:rPr>
                        <m:sty m:val="p"/>
                      </m:rPr>
                      <a:rPr lang="en-US" sz="1100" i="0">
                        <a:latin typeface="Cambria Math" panose="02040503050406030204" pitchFamily="18" charset="0"/>
                      </a:rPr>
                      <m:t>parts</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each</m:t>
                    </m:r>
                    <m:r>
                      <a:rPr lang="en-US" sz="1100" i="0">
                        <a:latin typeface="Cambria Math" panose="02040503050406030204" pitchFamily="18" charset="0"/>
                      </a:rPr>
                      <m:t> </m:t>
                    </m:r>
                    <m:r>
                      <m:rPr>
                        <m:sty m:val="p"/>
                      </m:rPr>
                      <a:rPr lang="en-US" sz="1100" i="0">
                        <a:latin typeface="Cambria Math" panose="02040503050406030204" pitchFamily="18" charset="0"/>
                      </a:rPr>
                      <m:t>time</m:t>
                    </m:r>
                    <m:r>
                      <a:rPr lang="en-US" sz="1100" i="0">
                        <a:latin typeface="Cambria Math" panose="02040503050406030204" pitchFamily="18" charset="0"/>
                      </a:rPr>
                      <m:t> </m:t>
                    </m:r>
                    <m:r>
                      <m:rPr>
                        <m:sty m:val="p"/>
                      </m:rPr>
                      <a:rPr lang="en-US" sz="1100" i="0">
                        <a:latin typeface="Cambria Math" panose="02040503050406030204" pitchFamily="18" charset="0"/>
                      </a:rPr>
                      <m:t>step</m:t>
                    </m:r>
                    <m:r>
                      <a:rPr lang="en-US" sz="1100" i="0">
                        <a:latin typeface="Cambria Math" panose="02040503050406030204" pitchFamily="18" charset="0"/>
                      </a:rPr>
                      <m:t> </m:t>
                    </m:r>
                  </m:oMath>
                </m:oMathPara>
              </a14:m>
              <a:endParaRPr lang="en-US" sz="1100" i="0">
                <a:latin typeface="Cambria Math" panose="02040503050406030204" pitchFamily="18" charset="0"/>
              </a:endParaRPr>
            </a:p>
            <a:p>
              <a:pPr algn="l"/>
              <a14:m>
                <m:oMathPara xmlns:m="http://schemas.openxmlformats.org/officeDocument/2006/math">
                  <m:oMathParaPr>
                    <m:jc m:val="left"/>
                  </m:oMathParaPr>
                  <m:oMath xmlns:m="http://schemas.openxmlformats.org/officeDocument/2006/math">
                    <m:r>
                      <a:rPr lang="en-US" sz="1100" i="0">
                        <a:latin typeface="Cambria Math" panose="02040503050406030204" pitchFamily="18" charset="0"/>
                      </a:rPr>
                      <m:t>+ </m:t>
                    </m:r>
                    <m:r>
                      <m:rPr>
                        <m:sty m:val="p"/>
                      </m:rPr>
                      <a:rPr lang="en-US" sz="1100" i="0">
                        <a:latin typeface="Cambria Math" panose="02040503050406030204" pitchFamily="18" charset="0"/>
                      </a:rPr>
                      <m:t>Water</m:t>
                    </m:r>
                    <m:r>
                      <a:rPr lang="en-US" sz="1100" i="0">
                        <a:latin typeface="Cambria Math" panose="02040503050406030204" pitchFamily="18" charset="0"/>
                      </a:rPr>
                      <m:t> </m:t>
                    </m:r>
                    <m:r>
                      <m:rPr>
                        <m:sty m:val="p"/>
                      </m:rPr>
                      <a:rPr lang="en-US" sz="1100" i="0">
                        <a:latin typeface="Cambria Math" panose="02040503050406030204" pitchFamily="18" charset="0"/>
                      </a:rPr>
                      <m:t>loss</m:t>
                    </m:r>
                    <m:r>
                      <a:rPr lang="en-US" sz="1100" i="0">
                        <a:latin typeface="Cambria Math" panose="02040503050406030204" pitchFamily="18" charset="0"/>
                      </a:rPr>
                      <m:t> </m:t>
                    </m:r>
                    <m:r>
                      <m:rPr>
                        <m:sty m:val="p"/>
                      </m:rPr>
                      <a:rPr lang="en-US" sz="1100" i="0">
                        <a:latin typeface="Cambria Math" panose="02040503050406030204" pitchFamily="18" charset="0"/>
                      </a:rPr>
                      <m:t>due</m:t>
                    </m:r>
                    <m:r>
                      <a:rPr lang="en-US" sz="1100" i="0">
                        <a:latin typeface="Cambria Math" panose="02040503050406030204" pitchFamily="18" charset="0"/>
                      </a:rPr>
                      <m:t> </m:t>
                    </m:r>
                    <m:r>
                      <m:rPr>
                        <m:sty m:val="p"/>
                      </m:rPr>
                      <a:rPr lang="en-US" sz="1100" i="0">
                        <a:latin typeface="Cambria Math" panose="02040503050406030204" pitchFamily="18" charset="0"/>
                      </a:rPr>
                      <m:t>to</m:t>
                    </m:r>
                    <m:r>
                      <a:rPr lang="en-US" sz="1100" i="0">
                        <a:latin typeface="Cambria Math" panose="02040503050406030204" pitchFamily="18" charset="0"/>
                      </a:rPr>
                      <m:t> </m:t>
                    </m:r>
                    <m:r>
                      <m:rPr>
                        <m:sty m:val="p"/>
                      </m:rPr>
                      <a:rPr lang="en-US" sz="1100" i="0">
                        <a:latin typeface="Cambria Math" panose="02040503050406030204" pitchFamily="18" charset="0"/>
                      </a:rPr>
                      <m:t>natural</m:t>
                    </m:r>
                    <m:r>
                      <a:rPr lang="en-US" sz="1100" i="0">
                        <a:latin typeface="Cambria Math" panose="02040503050406030204" pitchFamily="18" charset="0"/>
                      </a:rPr>
                      <m:t> </m:t>
                    </m:r>
                    <m:r>
                      <m:rPr>
                        <m:sty m:val="p"/>
                      </m:rPr>
                      <a:rPr lang="en-US" sz="1100" i="0">
                        <a:latin typeface="Cambria Math" panose="02040503050406030204" pitchFamily="18" charset="0"/>
                      </a:rPr>
                      <m:t>rise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leakage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never</m:t>
                    </m:r>
                    <m:r>
                      <a:rPr lang="en-US" sz="1100" i="0">
                        <a:latin typeface="Cambria Math" panose="02040503050406030204" pitchFamily="18" charset="0"/>
                      </a:rPr>
                      <m:t> </m:t>
                    </m:r>
                    <m:r>
                      <m:rPr>
                        <m:sty m:val="p"/>
                      </m:rPr>
                      <a:rPr lang="en-US" sz="1100" i="0">
                        <a:latin typeface="Cambria Math" panose="02040503050406030204" pitchFamily="18" charset="0"/>
                      </a:rPr>
                      <m:t>surveyed</m:t>
                    </m:r>
                    <m:r>
                      <a:rPr lang="en-US" sz="1100" i="0">
                        <a:latin typeface="Cambria Math" panose="02040503050406030204" pitchFamily="18" charset="0"/>
                      </a:rPr>
                      <m:t> </m:t>
                    </m:r>
                    <m:r>
                      <m:rPr>
                        <m:sty m:val="p"/>
                      </m:rPr>
                      <a:rPr lang="en-US" sz="1100" i="0">
                        <a:latin typeface="Cambria Math" panose="02040503050406030204" pitchFamily="18" charset="0"/>
                      </a:rPr>
                      <m:t>parts</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each</m:t>
                    </m:r>
                    <m:r>
                      <a:rPr lang="en-US" sz="1100" i="0">
                        <a:latin typeface="Cambria Math" panose="02040503050406030204" pitchFamily="18" charset="0"/>
                      </a:rPr>
                      <m:t> </m:t>
                    </m:r>
                    <m:r>
                      <m:rPr>
                        <m:sty m:val="p"/>
                      </m:rPr>
                      <a:rPr lang="en-US" sz="1100" i="0">
                        <a:latin typeface="Cambria Math" panose="02040503050406030204" pitchFamily="18" charset="0"/>
                      </a:rPr>
                      <m:t>time</m:t>
                    </m:r>
                    <m:r>
                      <a:rPr lang="en-US" sz="1100" i="0">
                        <a:latin typeface="Cambria Math" panose="02040503050406030204" pitchFamily="18" charset="0"/>
                      </a:rPr>
                      <m:t> </m:t>
                    </m:r>
                    <m:r>
                      <m:rPr>
                        <m:sty m:val="p"/>
                      </m:rPr>
                      <a:rPr lang="en-US" sz="1100" i="0">
                        <a:latin typeface="Cambria Math" panose="02040503050406030204" pitchFamily="18" charset="0"/>
                      </a:rPr>
                      <m:t>step</m:t>
                    </m:r>
                    <m:r>
                      <a:rPr lang="en-US" sz="1100" i="0">
                        <a:latin typeface="Cambria Math" panose="02040503050406030204" pitchFamily="18" charset="0"/>
                      </a:rPr>
                      <m:t> </m:t>
                    </m:r>
                  </m:oMath>
                </m:oMathPara>
              </a14:m>
              <a:endParaRPr lang="en-US" sz="1100" i="0">
                <a:latin typeface="Cambria Math" panose="02040503050406030204" pitchFamily="18" charset="0"/>
              </a:endParaRPr>
            </a:p>
            <a:p>
              <a:pPr algn="l"/>
              <a14:m>
                <m:oMathPara xmlns:m="http://schemas.openxmlformats.org/officeDocument/2006/math">
                  <m:oMathParaPr>
                    <m:jc m:val="left"/>
                  </m:oMathParaPr>
                  <m:oMath xmlns:m="http://schemas.openxmlformats.org/officeDocument/2006/math">
                    <m:r>
                      <a:rPr lang="en-US" sz="1100" i="0">
                        <a:latin typeface="Cambria Math" panose="02040503050406030204" pitchFamily="18" charset="0"/>
                      </a:rPr>
                      <m:t>+ </m:t>
                    </m:r>
                    <m:r>
                      <m:rPr>
                        <m:sty m:val="p"/>
                      </m:rPr>
                      <a:rPr lang="en-US" sz="1100" i="0">
                        <a:latin typeface="Cambria Math" panose="02040503050406030204" pitchFamily="18" charset="0"/>
                      </a:rPr>
                      <m:t>Water</m:t>
                    </m:r>
                    <m:r>
                      <a:rPr lang="en-US" sz="1100" i="0">
                        <a:latin typeface="Cambria Math" panose="02040503050406030204" pitchFamily="18" charset="0"/>
                      </a:rPr>
                      <m:t> </m:t>
                    </m:r>
                    <m:r>
                      <m:rPr>
                        <m:sty m:val="p"/>
                      </m:rPr>
                      <a:rPr lang="en-US" sz="1100" i="0">
                        <a:latin typeface="Cambria Math" panose="02040503050406030204" pitchFamily="18" charset="0"/>
                      </a:rPr>
                      <m:t>loss</m:t>
                    </m:r>
                    <m:r>
                      <a:rPr lang="en-US" sz="1100" i="0">
                        <a:latin typeface="Cambria Math" panose="02040503050406030204" pitchFamily="18" charset="0"/>
                      </a:rPr>
                      <m:t> </m:t>
                    </m:r>
                    <m:r>
                      <m:rPr>
                        <m:sty m:val="p"/>
                      </m:rPr>
                      <a:rPr lang="en-US" sz="1100" i="0">
                        <a:latin typeface="Cambria Math" panose="02040503050406030204" pitchFamily="18" charset="0"/>
                      </a:rPr>
                      <m:t>due</m:t>
                    </m:r>
                    <m:r>
                      <a:rPr lang="en-US" sz="1100" i="0">
                        <a:latin typeface="Cambria Math" panose="02040503050406030204" pitchFamily="18" charset="0"/>
                      </a:rPr>
                      <m:t> </m:t>
                    </m:r>
                    <m:r>
                      <m:rPr>
                        <m:sty m:val="p"/>
                      </m:rPr>
                      <a:rPr lang="en-US" sz="1100" i="0">
                        <a:latin typeface="Cambria Math" panose="02040503050406030204" pitchFamily="18" charset="0"/>
                      </a:rPr>
                      <m:t>to</m:t>
                    </m:r>
                    <m:r>
                      <a:rPr lang="en-US" sz="1100" i="0">
                        <a:latin typeface="Cambria Math" panose="02040503050406030204" pitchFamily="18" charset="0"/>
                      </a:rPr>
                      <m:t> </m:t>
                    </m:r>
                    <m:r>
                      <m:rPr>
                        <m:sty m:val="p"/>
                      </m:rPr>
                      <a:rPr lang="en-US" sz="1100" i="0">
                        <a:latin typeface="Cambria Math" panose="02040503050406030204" pitchFamily="18" charset="0"/>
                      </a:rPr>
                      <m:t>natural</m:t>
                    </m:r>
                    <m:r>
                      <a:rPr lang="en-US" sz="1100" i="0">
                        <a:latin typeface="Cambria Math" panose="02040503050406030204" pitchFamily="18" charset="0"/>
                      </a:rPr>
                      <m:t> </m:t>
                    </m:r>
                    <m:r>
                      <m:rPr>
                        <m:sty m:val="p"/>
                      </m:rPr>
                      <a:rPr lang="en-US" sz="1100" i="0">
                        <a:latin typeface="Cambria Math" panose="02040503050406030204" pitchFamily="18" charset="0"/>
                      </a:rPr>
                      <m:t>rise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leakage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previously</m:t>
                    </m:r>
                    <m:r>
                      <a:rPr lang="en-US" sz="1100" i="0">
                        <a:latin typeface="Cambria Math" panose="02040503050406030204" pitchFamily="18" charset="0"/>
                      </a:rPr>
                      <m:t> </m:t>
                    </m:r>
                    <m:r>
                      <m:rPr>
                        <m:sty m:val="p"/>
                      </m:rPr>
                      <a:rPr lang="en-US" sz="1100" i="0">
                        <a:latin typeface="Cambria Math" panose="02040503050406030204" pitchFamily="18" charset="0"/>
                      </a:rPr>
                      <m:t>surveyed</m:t>
                    </m:r>
                    <m:r>
                      <a:rPr lang="en-US" sz="1100" i="0">
                        <a:latin typeface="Cambria Math" panose="02040503050406030204" pitchFamily="18" charset="0"/>
                      </a:rPr>
                      <m:t> </m:t>
                    </m:r>
                    <m:r>
                      <m:rPr>
                        <m:sty m:val="p"/>
                      </m:rPr>
                      <a:rPr lang="en-US" sz="1100" i="0">
                        <a:latin typeface="Cambria Math" panose="02040503050406030204" pitchFamily="18" charset="0"/>
                      </a:rPr>
                      <m:t>parts</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each</m:t>
                    </m:r>
                    <m:r>
                      <a:rPr lang="en-US" sz="1100" i="0">
                        <a:latin typeface="Cambria Math" panose="02040503050406030204" pitchFamily="18" charset="0"/>
                      </a:rPr>
                      <m:t> </m:t>
                    </m:r>
                    <m:r>
                      <m:rPr>
                        <m:sty m:val="p"/>
                      </m:rPr>
                      <a:rPr lang="en-US" sz="1100" i="0">
                        <a:latin typeface="Cambria Math" panose="02040503050406030204" pitchFamily="18" charset="0"/>
                      </a:rPr>
                      <m:t>time</m:t>
                    </m:r>
                    <m:r>
                      <a:rPr lang="en-US" sz="1100" i="0">
                        <a:latin typeface="Cambria Math" panose="02040503050406030204" pitchFamily="18" charset="0"/>
                      </a:rPr>
                      <m:t> </m:t>
                    </m:r>
                    <m:r>
                      <m:rPr>
                        <m:sty m:val="p"/>
                      </m:rPr>
                      <a:rPr lang="en-US" sz="1100" i="0">
                        <a:latin typeface="Cambria Math" panose="02040503050406030204" pitchFamily="18" charset="0"/>
                      </a:rPr>
                      <m:t>step</m:t>
                    </m:r>
                  </m:oMath>
                </m:oMathPara>
              </a14:m>
              <a:endParaRPr lang="en-US" sz="1100" i="0"/>
            </a:p>
            <a:p>
              <a:pPr algn="l"/>
              <a:r>
                <a:rPr lang="en-US" sz="1100" i="0"/>
                <a:t>The water loss occuring in any year is calculated by adding up the water loss occuring in each time step in that year.</a:t>
              </a:r>
            </a:p>
          </xdr:txBody>
        </xdr:sp>
      </mc:Choice>
      <mc:Fallback xmlns="">
        <xdr:sp macro="" textlink="">
          <xdr:nvSpPr>
            <xdr:cNvPr id="35" name="TextBox 34">
              <a:extLst>
                <a:ext uri="{FF2B5EF4-FFF2-40B4-BE49-F238E27FC236}">
                  <a16:creationId xmlns:a16="http://schemas.microsoft.com/office/drawing/2014/main" id="{FC272743-E9F6-4378-BCAF-22846B088B73}"/>
                </a:ext>
              </a:extLst>
            </xdr:cNvPr>
            <xdr:cNvSpPr txBox="1"/>
          </xdr:nvSpPr>
          <xdr:spPr>
            <a:xfrm>
              <a:off x="2733675" y="6991350"/>
              <a:ext cx="6616555" cy="67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1100" i="0">
                  <a:latin typeface="Cambria Math" panose="02040503050406030204" pitchFamily="18" charset="0"/>
                </a:rPr>
                <a:t>Water loss due to backlog of leakage in unsurveyed parts in each time step </a:t>
              </a:r>
            </a:p>
            <a:p>
              <a:pPr algn="l"/>
              <a:r>
                <a:rPr lang="en-US" sz="1100" i="0">
                  <a:latin typeface="Cambria Math" panose="02040503050406030204" pitchFamily="18" charset="0"/>
                </a:rPr>
                <a:t>+ Water loss due to natural rise in leakage in never surveyed parts in each time step </a:t>
              </a:r>
            </a:p>
            <a:p>
              <a:pPr algn="l"/>
              <a:r>
                <a:rPr lang="en-US" sz="1100" i="0">
                  <a:latin typeface="Cambria Math" panose="02040503050406030204" pitchFamily="18" charset="0"/>
                </a:rPr>
                <a:t>+ Water loss due to natural rise in leakage in previously surveyed parts in each time step</a:t>
              </a:r>
              <a:endParaRPr lang="en-US" sz="1100" i="0"/>
            </a:p>
            <a:p>
              <a:pPr algn="l"/>
              <a:r>
                <a:rPr lang="en-US" sz="1100" i="0"/>
                <a:t>The water loss occuring in any year is calculated by adding up the water loss occuring in each time step in that year.</a:t>
              </a:r>
            </a:p>
          </xdr:txBody>
        </xdr:sp>
      </mc:Fallback>
    </mc:AlternateContent>
    <xdr:clientData/>
  </xdr:oneCellAnchor>
  <xdr:twoCellAnchor>
    <xdr:from>
      <xdr:col>0</xdr:col>
      <xdr:colOff>190500</xdr:colOff>
      <xdr:row>29</xdr:row>
      <xdr:rowOff>76199</xdr:rowOff>
    </xdr:from>
    <xdr:to>
      <xdr:col>15</xdr:col>
      <xdr:colOff>590550</xdr:colOff>
      <xdr:row>52</xdr:row>
      <xdr:rowOff>9525</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5F9FD44-88B7-490F-AA9A-7FC0A7361D7A}"/>
                </a:ext>
              </a:extLst>
            </xdr:cNvPr>
            <xdr:cNvSpPr txBox="1"/>
          </xdr:nvSpPr>
          <xdr:spPr>
            <a:xfrm>
              <a:off x="190500" y="16783049"/>
              <a:ext cx="11563350" cy="4257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solidFill>
                    <a:schemeClr val="dk1"/>
                  </a:solidFill>
                  <a:effectLst/>
                  <a:latin typeface="Arial" panose="020B0604020202020204" pitchFamily="34" charset="0"/>
                  <a:ea typeface="+mn-ea"/>
                  <a:cs typeface="Arial" panose="020B0604020202020204" pitchFamily="34" charset="0"/>
                </a:rPr>
                <a:t>Calculation of water lost at every time step with intervention</a:t>
              </a:r>
              <a:endParaRPr lang="en-US" sz="1050">
                <a:solidFill>
                  <a:schemeClr val="dk1"/>
                </a:solidFill>
                <a:effectLst/>
                <a:latin typeface="Arial" panose="020B0604020202020204" pitchFamily="34" charset="0"/>
                <a:ea typeface="+mn-ea"/>
                <a:cs typeface="Arial" panose="020B0604020202020204" pitchFamily="34" charset="0"/>
              </a:endParaRPr>
            </a:p>
            <a:p>
              <a:endParaRPr lang="en-US" sz="1050" u="sng">
                <a:solidFill>
                  <a:schemeClr val="dk1"/>
                </a:solidFill>
                <a:effectLst/>
                <a:latin typeface="Arial" panose="020B0604020202020204" pitchFamily="34" charset="0"/>
                <a:ea typeface="+mn-ea"/>
                <a:cs typeface="Arial" panose="020B0604020202020204" pitchFamily="34" charset="0"/>
              </a:endParaRPr>
            </a:p>
            <a:p>
              <a:r>
                <a:rPr lang="en-US" sz="1050" u="sng">
                  <a:solidFill>
                    <a:schemeClr val="dk1"/>
                  </a:solidFill>
                  <a:effectLst/>
                  <a:latin typeface="Arial" panose="020B0604020202020204" pitchFamily="34" charset="0"/>
                  <a:ea typeface="+mn-ea"/>
                  <a:cs typeface="Arial" panose="020B0604020202020204" pitchFamily="34" charset="0"/>
                </a:rPr>
                <a:t>Variables used:</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N = Number of parts into which the distribution system is divided (based on rate of surveying)</a:t>
              </a:r>
            </a:p>
            <a:p>
              <a:r>
                <a:rPr lang="en-US" sz="1050">
                  <a:solidFill>
                    <a:schemeClr val="dk1"/>
                  </a:solidFill>
                  <a:effectLst/>
                  <a:latin typeface="Arial" panose="020B0604020202020204" pitchFamily="34" charset="0"/>
                  <a:ea typeface="+mn-ea"/>
                  <a:cs typeface="Arial" panose="020B0604020202020204" pitchFamily="34" charset="0"/>
                </a:rPr>
                <a:t>ΔT = time between surveys</a:t>
              </a:r>
            </a:p>
            <a:p>
              <a:r>
                <a:rPr lang="en-US" sz="1050">
                  <a:solidFill>
                    <a:schemeClr val="dk1"/>
                  </a:solidFill>
                  <a:effectLst/>
                  <a:latin typeface="Arial" panose="020B0604020202020204" pitchFamily="34" charset="0"/>
                  <a:ea typeface="+mn-ea"/>
                  <a:cs typeface="Arial" panose="020B0604020202020204" pitchFamily="34" charset="0"/>
                </a:rPr>
                <a:t>L</a:t>
              </a:r>
              <a:r>
                <a:rPr lang="en-US" sz="1050" baseline="-25000">
                  <a:solidFill>
                    <a:schemeClr val="dk1"/>
                  </a:solidFill>
                  <a:effectLst/>
                  <a:latin typeface="Arial" panose="020B0604020202020204" pitchFamily="34" charset="0"/>
                  <a:ea typeface="+mn-ea"/>
                  <a:cs typeface="Arial" panose="020B0604020202020204" pitchFamily="34" charset="0"/>
                </a:rPr>
                <a:t>o </a:t>
              </a:r>
              <a:r>
                <a:rPr lang="en-US" sz="1050">
                  <a:solidFill>
                    <a:schemeClr val="dk1"/>
                  </a:solidFill>
                  <a:effectLst/>
                  <a:latin typeface="Arial" panose="020B0604020202020204" pitchFamily="34" charset="0"/>
                  <a:ea typeface="+mn-ea"/>
                  <a:cs typeface="Arial" panose="020B0604020202020204" pitchFamily="34" charset="0"/>
                </a:rPr>
                <a:t>= Initial total unreported leakage</a:t>
              </a:r>
            </a:p>
            <a:p>
              <a:r>
                <a:rPr lang="en-US" sz="1050" i="1">
                  <a:solidFill>
                    <a:schemeClr val="dk1"/>
                  </a:solidFill>
                  <a:effectLst/>
                  <a:latin typeface="Arial" panose="020B0604020202020204" pitchFamily="34" charset="0"/>
                  <a:ea typeface="+mn-ea"/>
                  <a:cs typeface="Arial" panose="020B0604020202020204" pitchFamily="34" charset="0"/>
                </a:rPr>
                <a:t>l</a:t>
              </a:r>
              <a:r>
                <a:rPr lang="en-US" sz="1050" i="1" baseline="-25000">
                  <a:solidFill>
                    <a:schemeClr val="dk1"/>
                  </a:solidFill>
                  <a:effectLst/>
                  <a:latin typeface="Arial" panose="020B0604020202020204" pitchFamily="34" charset="0"/>
                  <a:ea typeface="+mn-ea"/>
                  <a:cs typeface="Arial" panose="020B0604020202020204" pitchFamily="34" charset="0"/>
                </a:rPr>
                <a:t>o</a:t>
              </a:r>
              <a:r>
                <a:rPr lang="en-US" sz="1050">
                  <a:solidFill>
                    <a:schemeClr val="dk1"/>
                  </a:solidFill>
                  <a:effectLst/>
                  <a:latin typeface="Arial" panose="020B0604020202020204" pitchFamily="34" charset="0"/>
                  <a:ea typeface="+mn-ea"/>
                  <a:cs typeface="Arial" panose="020B0604020202020204" pitchFamily="34" charset="0"/>
                </a:rPr>
                <a:t> = Initial unreported leakage per part = </a:t>
              </a:r>
              <a14:m>
                <m:oMath xmlns:m="http://schemas.openxmlformats.org/officeDocument/2006/math">
                  <m:f>
                    <m:fPr>
                      <m:ctrlPr>
                        <a:rPr lang="en-US" sz="1050" i="1">
                          <a:solidFill>
                            <a:schemeClr val="dk1"/>
                          </a:solidFill>
                          <a:effectLst/>
                          <a:latin typeface="Cambria Math" panose="02040503050406030204" pitchFamily="18" charset="0"/>
                          <a:ea typeface="+mn-ea"/>
                          <a:cs typeface="+mn-cs"/>
                        </a:rPr>
                      </m:ctrlPr>
                    </m:fPr>
                    <m:num>
                      <m:r>
                        <m:rPr>
                          <m:sty m:val="p"/>
                        </m:rPr>
                        <a:rPr lang="en-US" sz="1050">
                          <a:solidFill>
                            <a:schemeClr val="dk1"/>
                          </a:solidFill>
                          <a:effectLst/>
                          <a:latin typeface="Cambria Math" panose="02040503050406030204" pitchFamily="18" charset="0"/>
                          <a:ea typeface="+mn-ea"/>
                          <a:cs typeface="+mn-cs"/>
                        </a:rPr>
                        <m:t>L</m:t>
                      </m:r>
                      <m:r>
                        <m:rPr>
                          <m:sty m:val="p"/>
                        </m:rPr>
                        <a:rPr lang="en-US" sz="1050" baseline="-25000">
                          <a:solidFill>
                            <a:schemeClr val="dk1"/>
                          </a:solidFill>
                          <a:effectLst/>
                          <a:latin typeface="Cambria Math" panose="02040503050406030204" pitchFamily="18" charset="0"/>
                          <a:ea typeface="+mn-ea"/>
                          <a:cs typeface="+mn-cs"/>
                        </a:rPr>
                        <m:t>o</m:t>
                      </m:r>
                    </m:num>
                    <m:den>
                      <m:r>
                        <m:rPr>
                          <m:sty m:val="p"/>
                        </m:rPr>
                        <a:rPr lang="en-US" sz="1050">
                          <a:solidFill>
                            <a:schemeClr val="dk1"/>
                          </a:solidFill>
                          <a:effectLst/>
                          <a:latin typeface="Cambria Math" panose="02040503050406030204" pitchFamily="18" charset="0"/>
                          <a:ea typeface="+mn-ea"/>
                          <a:cs typeface="+mn-cs"/>
                        </a:rPr>
                        <m:t>N</m:t>
                      </m:r>
                    </m:den>
                  </m:f>
                </m:oMath>
              </a14:m>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R = Natural rise in leakage for the entire system</a:t>
              </a:r>
            </a:p>
            <a:p>
              <a:r>
                <a:rPr lang="en-US" sz="1050">
                  <a:solidFill>
                    <a:schemeClr val="dk1"/>
                  </a:solidFill>
                  <a:effectLst/>
                  <a:latin typeface="Arial" panose="020B0604020202020204" pitchFamily="34" charset="0"/>
                  <a:ea typeface="+mn-ea"/>
                  <a:cs typeface="Arial" panose="020B0604020202020204" pitchFamily="34" charset="0"/>
                </a:rPr>
                <a:t>r = Rate of natural rise of leakage per part = </a:t>
              </a:r>
              <a14:m>
                <m:oMath xmlns:m="http://schemas.openxmlformats.org/officeDocument/2006/math">
                  <m:f>
                    <m:fPr>
                      <m:ctrlPr>
                        <a:rPr lang="en-US" sz="1050" i="1">
                          <a:solidFill>
                            <a:schemeClr val="dk1"/>
                          </a:solidFill>
                          <a:effectLst/>
                          <a:latin typeface="Cambria Math" panose="02040503050406030204" pitchFamily="18" charset="0"/>
                          <a:ea typeface="+mn-ea"/>
                          <a:cs typeface="+mn-cs"/>
                        </a:rPr>
                      </m:ctrlPr>
                    </m:fPr>
                    <m:num>
                      <m:r>
                        <m:rPr>
                          <m:sty m:val="p"/>
                        </m:rPr>
                        <a:rPr lang="en-US" sz="1050">
                          <a:solidFill>
                            <a:schemeClr val="dk1"/>
                          </a:solidFill>
                          <a:effectLst/>
                          <a:latin typeface="Cambria Math" panose="02040503050406030204" pitchFamily="18" charset="0"/>
                          <a:ea typeface="+mn-ea"/>
                          <a:cs typeface="+mn-cs"/>
                        </a:rPr>
                        <m:t>R</m:t>
                      </m:r>
                    </m:num>
                    <m:den>
                      <m:r>
                        <m:rPr>
                          <m:sty m:val="p"/>
                        </m:rPr>
                        <a:rPr lang="en-US" sz="1050">
                          <a:solidFill>
                            <a:schemeClr val="dk1"/>
                          </a:solidFill>
                          <a:effectLst/>
                          <a:latin typeface="Cambria Math" panose="02040503050406030204" pitchFamily="18" charset="0"/>
                          <a:ea typeface="+mn-ea"/>
                          <a:cs typeface="+mn-cs"/>
                        </a:rPr>
                        <m:t>N</m:t>
                      </m:r>
                    </m:den>
                  </m:f>
                </m:oMath>
              </a14:m>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general method used is as follows:</a:t>
              </a:r>
            </a:p>
            <a:p>
              <a:pPr lvl="0"/>
              <a:endParaRPr lang="en-US" sz="1050">
                <a:solidFill>
                  <a:schemeClr val="dk1"/>
                </a:solidFill>
                <a:effectLst/>
                <a:latin typeface="Arial" panose="020B0604020202020204" pitchFamily="34" charset="0"/>
                <a:ea typeface="+mn-ea"/>
                <a:cs typeface="Arial" panose="020B0604020202020204" pitchFamily="34" charset="0"/>
              </a:endParaRPr>
            </a:p>
            <a:p>
              <a:pPr lvl="0"/>
              <a:r>
                <a:rPr lang="en-US" sz="1050">
                  <a:solidFill>
                    <a:schemeClr val="dk1"/>
                  </a:solidFill>
                  <a:effectLst/>
                  <a:latin typeface="Arial" panose="020B0604020202020204" pitchFamily="34" charset="0"/>
                  <a:ea typeface="+mn-ea"/>
                  <a:cs typeface="Arial" panose="020B0604020202020204" pitchFamily="34" charset="0"/>
                </a:rPr>
                <a:t>It is assumed, for simplicity, that at any point in time, a part of the system is being surveyed. The rate of surveying is an average rate for the entire system. </a:t>
              </a:r>
            </a:p>
            <a:p>
              <a:pPr lvl="0"/>
              <a:r>
                <a:rPr lang="en-US" sz="1050">
                  <a:solidFill>
                    <a:schemeClr val="dk1"/>
                  </a:solidFill>
                  <a:effectLst/>
                  <a:latin typeface="Arial" panose="020B0604020202020204" pitchFamily="34" charset="0"/>
                  <a:ea typeface="+mn-ea"/>
                  <a:cs typeface="Arial" panose="020B0604020202020204" pitchFamily="34" charset="0"/>
                </a:rPr>
                <a:t>The model determines the economically achievable volumetric water loss by calculating how much water loss occurs at that time. Thus, the 2027 standard is calculated by calculating the water loss occurring at the time step coinciding with the beginning of 2027. </a:t>
              </a:r>
            </a:p>
            <a:p>
              <a:pPr lvl="0"/>
              <a:r>
                <a:rPr lang="en-US" sz="1050">
                  <a:solidFill>
                    <a:schemeClr val="dk1"/>
                  </a:solidFill>
                  <a:effectLst/>
                  <a:latin typeface="Arial" panose="020B0604020202020204" pitchFamily="34" charset="0"/>
                  <a:ea typeface="+mn-ea"/>
                  <a:cs typeface="Arial" panose="020B0604020202020204" pitchFamily="34" charset="0"/>
                </a:rPr>
                <a:t>The model divides the water lost during regular leak detection and surveying into three elements for ease of calculation:</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backlog of unreported leakage</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natural rise in leakage for the never surveyed parts of the system (for the first survey)</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natural rise in leakage for rest of the parts of the system not being surveyed in current time step</a:t>
              </a:r>
            </a:p>
            <a:p>
              <a:pPr lvl="0"/>
              <a:endParaRPr lang="en-US" sz="1050">
                <a:solidFill>
                  <a:schemeClr val="dk1"/>
                </a:solidFill>
                <a:effectLst/>
                <a:latin typeface="Arial" panose="020B0604020202020204" pitchFamily="34" charset="0"/>
                <a:ea typeface="+mn-ea"/>
                <a:cs typeface="Arial" panose="020B0604020202020204" pitchFamily="34" charset="0"/>
              </a:endParaRPr>
            </a:p>
            <a:p>
              <a:pPr lvl="0"/>
              <a:r>
                <a:rPr lang="en-US" sz="1050">
                  <a:solidFill>
                    <a:schemeClr val="dk1"/>
                  </a:solidFill>
                  <a:effectLst/>
                  <a:latin typeface="Arial" panose="020B0604020202020204" pitchFamily="34" charset="0"/>
                  <a:ea typeface="+mn-ea"/>
                  <a:cs typeface="Arial" panose="020B0604020202020204" pitchFamily="34" charset="0"/>
                </a:rPr>
                <a:t>An equation is developed to represent water loss occurring in one part, after which the water loss is summed up to represent the entire system. ‘i’ represents the current time step, so that we can develop a general formula for each of these categories. The spreadsheet uses these formulae in columns 2 through 4 (B through D)</a:t>
              </a:r>
            </a:p>
            <a:p>
              <a:endParaRPr lang="en-US" sz="1050" u="sng">
                <a:solidFill>
                  <a:schemeClr val="dk1"/>
                </a:solidFill>
                <a:effectLst/>
                <a:latin typeface="Arial" panose="020B0604020202020204" pitchFamily="34" charset="0"/>
                <a:ea typeface="+mn-ea"/>
                <a:cs typeface="Arial" panose="020B0604020202020204" pitchFamily="34" charset="0"/>
              </a:endParaRPr>
            </a:p>
            <a:p>
              <a:endParaRPr lang="en-US" sz="1050" u="sng">
                <a:solidFill>
                  <a:schemeClr val="dk1"/>
                </a:solidFill>
                <a:effectLst/>
                <a:latin typeface="Arial" panose="020B0604020202020204" pitchFamily="34" charset="0"/>
                <a:ea typeface="+mn-ea"/>
                <a:cs typeface="Arial" panose="020B0604020202020204" pitchFamily="34" charset="0"/>
              </a:endParaRPr>
            </a:p>
            <a:p>
              <a:r>
                <a:rPr lang="en-US" sz="1050" u="sng">
                  <a:solidFill>
                    <a:schemeClr val="dk1"/>
                  </a:solidFill>
                  <a:effectLst/>
                  <a:latin typeface="Arial" panose="020B0604020202020204" pitchFamily="34" charset="0"/>
                  <a:ea typeface="+mn-ea"/>
                  <a:cs typeface="Arial" panose="020B0604020202020204" pitchFamily="34" charset="0"/>
                </a:rPr>
                <a:t>Water lost due to backlog of unreported leakage:</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schematic shows how the backlog unreported leakage for the entire system is impacted after each part of the system is surveyed. Note that the backlog element considered here does not include any rise in leakage, as elements including rising leakage are calculated separately.</a:t>
              </a:r>
            </a:p>
            <a:p>
              <a:endParaRPr lang="en-US" sz="1050">
                <a:latin typeface="Arial" panose="020B0604020202020204" pitchFamily="34" charset="0"/>
                <a:cs typeface="Arial" panose="020B0604020202020204" pitchFamily="34" charset="0"/>
              </a:endParaRPr>
            </a:p>
          </xdr:txBody>
        </xdr:sp>
      </mc:Choice>
      <mc:Fallback xmlns="">
        <xdr:sp macro="" textlink="">
          <xdr:nvSpPr>
            <xdr:cNvPr id="3" name="TextBox 2">
              <a:extLst>
                <a:ext uri="{FF2B5EF4-FFF2-40B4-BE49-F238E27FC236}">
                  <a16:creationId xmlns:a16="http://schemas.microsoft.com/office/drawing/2014/main" id="{A5F9FD44-88B7-490F-AA9A-7FC0A7361D7A}"/>
                </a:ext>
              </a:extLst>
            </xdr:cNvPr>
            <xdr:cNvSpPr txBox="1"/>
          </xdr:nvSpPr>
          <xdr:spPr>
            <a:xfrm>
              <a:off x="190500" y="16783049"/>
              <a:ext cx="11563350" cy="4257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solidFill>
                    <a:schemeClr val="dk1"/>
                  </a:solidFill>
                  <a:effectLst/>
                  <a:latin typeface="Arial" panose="020B0604020202020204" pitchFamily="34" charset="0"/>
                  <a:ea typeface="+mn-ea"/>
                  <a:cs typeface="Arial" panose="020B0604020202020204" pitchFamily="34" charset="0"/>
                </a:rPr>
                <a:t>Calculation of water lost at every time step with intervention</a:t>
              </a:r>
              <a:endParaRPr lang="en-US" sz="1050">
                <a:solidFill>
                  <a:schemeClr val="dk1"/>
                </a:solidFill>
                <a:effectLst/>
                <a:latin typeface="Arial" panose="020B0604020202020204" pitchFamily="34" charset="0"/>
                <a:ea typeface="+mn-ea"/>
                <a:cs typeface="Arial" panose="020B0604020202020204" pitchFamily="34" charset="0"/>
              </a:endParaRPr>
            </a:p>
            <a:p>
              <a:endParaRPr lang="en-US" sz="1050" u="sng">
                <a:solidFill>
                  <a:schemeClr val="dk1"/>
                </a:solidFill>
                <a:effectLst/>
                <a:latin typeface="Arial" panose="020B0604020202020204" pitchFamily="34" charset="0"/>
                <a:ea typeface="+mn-ea"/>
                <a:cs typeface="Arial" panose="020B0604020202020204" pitchFamily="34" charset="0"/>
              </a:endParaRPr>
            </a:p>
            <a:p>
              <a:r>
                <a:rPr lang="en-US" sz="1050" u="sng">
                  <a:solidFill>
                    <a:schemeClr val="dk1"/>
                  </a:solidFill>
                  <a:effectLst/>
                  <a:latin typeface="Arial" panose="020B0604020202020204" pitchFamily="34" charset="0"/>
                  <a:ea typeface="+mn-ea"/>
                  <a:cs typeface="Arial" panose="020B0604020202020204" pitchFamily="34" charset="0"/>
                </a:rPr>
                <a:t>Variables used:</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N = Number of parts into which the distribution system is divided (based on rate of surveying)</a:t>
              </a:r>
            </a:p>
            <a:p>
              <a:r>
                <a:rPr lang="en-US" sz="1050">
                  <a:solidFill>
                    <a:schemeClr val="dk1"/>
                  </a:solidFill>
                  <a:effectLst/>
                  <a:latin typeface="Arial" panose="020B0604020202020204" pitchFamily="34" charset="0"/>
                  <a:ea typeface="+mn-ea"/>
                  <a:cs typeface="Arial" panose="020B0604020202020204" pitchFamily="34" charset="0"/>
                </a:rPr>
                <a:t>ΔT = time between surveys</a:t>
              </a:r>
            </a:p>
            <a:p>
              <a:r>
                <a:rPr lang="en-US" sz="1050">
                  <a:solidFill>
                    <a:schemeClr val="dk1"/>
                  </a:solidFill>
                  <a:effectLst/>
                  <a:latin typeface="Arial" panose="020B0604020202020204" pitchFamily="34" charset="0"/>
                  <a:ea typeface="+mn-ea"/>
                  <a:cs typeface="Arial" panose="020B0604020202020204" pitchFamily="34" charset="0"/>
                </a:rPr>
                <a:t>L</a:t>
              </a:r>
              <a:r>
                <a:rPr lang="en-US" sz="1050" baseline="-25000">
                  <a:solidFill>
                    <a:schemeClr val="dk1"/>
                  </a:solidFill>
                  <a:effectLst/>
                  <a:latin typeface="Arial" panose="020B0604020202020204" pitchFamily="34" charset="0"/>
                  <a:ea typeface="+mn-ea"/>
                  <a:cs typeface="Arial" panose="020B0604020202020204" pitchFamily="34" charset="0"/>
                </a:rPr>
                <a:t>o </a:t>
              </a:r>
              <a:r>
                <a:rPr lang="en-US" sz="1050">
                  <a:solidFill>
                    <a:schemeClr val="dk1"/>
                  </a:solidFill>
                  <a:effectLst/>
                  <a:latin typeface="Arial" panose="020B0604020202020204" pitchFamily="34" charset="0"/>
                  <a:ea typeface="+mn-ea"/>
                  <a:cs typeface="Arial" panose="020B0604020202020204" pitchFamily="34" charset="0"/>
                </a:rPr>
                <a:t>= Initial total unreported leakage</a:t>
              </a:r>
            </a:p>
            <a:p>
              <a:r>
                <a:rPr lang="en-US" sz="1050" i="1">
                  <a:solidFill>
                    <a:schemeClr val="dk1"/>
                  </a:solidFill>
                  <a:effectLst/>
                  <a:latin typeface="Arial" panose="020B0604020202020204" pitchFamily="34" charset="0"/>
                  <a:ea typeface="+mn-ea"/>
                  <a:cs typeface="Arial" panose="020B0604020202020204" pitchFamily="34" charset="0"/>
                </a:rPr>
                <a:t>l</a:t>
              </a:r>
              <a:r>
                <a:rPr lang="en-US" sz="1050" i="1" baseline="-25000">
                  <a:solidFill>
                    <a:schemeClr val="dk1"/>
                  </a:solidFill>
                  <a:effectLst/>
                  <a:latin typeface="Arial" panose="020B0604020202020204" pitchFamily="34" charset="0"/>
                  <a:ea typeface="+mn-ea"/>
                  <a:cs typeface="Arial" panose="020B0604020202020204" pitchFamily="34" charset="0"/>
                </a:rPr>
                <a:t>o</a:t>
              </a:r>
              <a:r>
                <a:rPr lang="en-US" sz="1050">
                  <a:solidFill>
                    <a:schemeClr val="dk1"/>
                  </a:solidFill>
                  <a:effectLst/>
                  <a:latin typeface="Arial" panose="020B0604020202020204" pitchFamily="34" charset="0"/>
                  <a:ea typeface="+mn-ea"/>
                  <a:cs typeface="Arial" panose="020B0604020202020204" pitchFamily="34" charset="0"/>
                </a:rPr>
                <a:t> = Initial unreported leakage per part = </a:t>
              </a:r>
              <a:r>
                <a:rPr lang="en-US" sz="1050" i="0">
                  <a:solidFill>
                    <a:schemeClr val="dk1"/>
                  </a:solidFill>
                  <a:effectLst/>
                  <a:latin typeface="+mn-lt"/>
                  <a:ea typeface="+mn-ea"/>
                  <a:cs typeface="+mn-cs"/>
                </a:rPr>
                <a:t>L</a:t>
              </a:r>
              <a:r>
                <a:rPr lang="en-US" sz="1050" i="0" baseline="-25000">
                  <a:solidFill>
                    <a:schemeClr val="dk1"/>
                  </a:solidFill>
                  <a:effectLst/>
                  <a:latin typeface="+mn-lt"/>
                  <a:ea typeface="+mn-ea"/>
                  <a:cs typeface="+mn-cs"/>
                </a:rPr>
                <a:t>o/</a:t>
              </a:r>
              <a:r>
                <a:rPr lang="en-US" sz="1050" i="0">
                  <a:solidFill>
                    <a:schemeClr val="dk1"/>
                  </a:solidFill>
                  <a:effectLst/>
                  <a:latin typeface="+mn-lt"/>
                  <a:ea typeface="+mn-ea"/>
                  <a:cs typeface="+mn-cs"/>
                </a:rPr>
                <a:t>N</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R = Natural rise in leakage for the entire system</a:t>
              </a:r>
            </a:p>
            <a:p>
              <a:r>
                <a:rPr lang="en-US" sz="1050">
                  <a:solidFill>
                    <a:schemeClr val="dk1"/>
                  </a:solidFill>
                  <a:effectLst/>
                  <a:latin typeface="Arial" panose="020B0604020202020204" pitchFamily="34" charset="0"/>
                  <a:ea typeface="+mn-ea"/>
                  <a:cs typeface="Arial" panose="020B0604020202020204" pitchFamily="34" charset="0"/>
                </a:rPr>
                <a:t>r = Rate of natural rise of leakage per part = </a:t>
              </a:r>
              <a:r>
                <a:rPr lang="en-US" sz="1050" i="0">
                  <a:solidFill>
                    <a:schemeClr val="dk1"/>
                  </a:solidFill>
                  <a:effectLst/>
                  <a:latin typeface="+mn-lt"/>
                  <a:ea typeface="+mn-ea"/>
                  <a:cs typeface="+mn-cs"/>
                </a:rPr>
                <a:t>R/N</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general method used is as follows:</a:t>
              </a:r>
            </a:p>
            <a:p>
              <a:pPr lvl="0"/>
              <a:endParaRPr lang="en-US" sz="1050">
                <a:solidFill>
                  <a:schemeClr val="dk1"/>
                </a:solidFill>
                <a:effectLst/>
                <a:latin typeface="Arial" panose="020B0604020202020204" pitchFamily="34" charset="0"/>
                <a:ea typeface="+mn-ea"/>
                <a:cs typeface="Arial" panose="020B0604020202020204" pitchFamily="34" charset="0"/>
              </a:endParaRPr>
            </a:p>
            <a:p>
              <a:pPr lvl="0"/>
              <a:r>
                <a:rPr lang="en-US" sz="1050">
                  <a:solidFill>
                    <a:schemeClr val="dk1"/>
                  </a:solidFill>
                  <a:effectLst/>
                  <a:latin typeface="Arial" panose="020B0604020202020204" pitchFamily="34" charset="0"/>
                  <a:ea typeface="+mn-ea"/>
                  <a:cs typeface="Arial" panose="020B0604020202020204" pitchFamily="34" charset="0"/>
                </a:rPr>
                <a:t>It is assumed, for simplicity, that at any point in time, a part of the system is being surveyed. The rate of surveying is an average rate for the entire system. </a:t>
              </a:r>
            </a:p>
            <a:p>
              <a:pPr lvl="0"/>
              <a:r>
                <a:rPr lang="en-US" sz="1050">
                  <a:solidFill>
                    <a:schemeClr val="dk1"/>
                  </a:solidFill>
                  <a:effectLst/>
                  <a:latin typeface="Arial" panose="020B0604020202020204" pitchFamily="34" charset="0"/>
                  <a:ea typeface="+mn-ea"/>
                  <a:cs typeface="Arial" panose="020B0604020202020204" pitchFamily="34" charset="0"/>
                </a:rPr>
                <a:t>The model determines the economically achievable volumetric water loss by calculating how much water loss occurs at that time. Thus, the 2027 standard is calculated by calculating the water loss occurring at the time step coinciding with the beginning of 2027. </a:t>
              </a:r>
            </a:p>
            <a:p>
              <a:pPr lvl="0"/>
              <a:r>
                <a:rPr lang="en-US" sz="1050">
                  <a:solidFill>
                    <a:schemeClr val="dk1"/>
                  </a:solidFill>
                  <a:effectLst/>
                  <a:latin typeface="Arial" panose="020B0604020202020204" pitchFamily="34" charset="0"/>
                  <a:ea typeface="+mn-ea"/>
                  <a:cs typeface="Arial" panose="020B0604020202020204" pitchFamily="34" charset="0"/>
                </a:rPr>
                <a:t>The model divides the water lost during regular leak detection and surveying into three elements for ease of calculation:</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backlog of unreported leakage</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natural rise in leakage for the never surveyed parts of the system (for the first survey)</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natural rise in leakage for rest of the parts of the system not being surveyed in current time step</a:t>
              </a:r>
            </a:p>
            <a:p>
              <a:pPr lvl="0"/>
              <a:endParaRPr lang="en-US" sz="1050">
                <a:solidFill>
                  <a:schemeClr val="dk1"/>
                </a:solidFill>
                <a:effectLst/>
                <a:latin typeface="Arial" panose="020B0604020202020204" pitchFamily="34" charset="0"/>
                <a:ea typeface="+mn-ea"/>
                <a:cs typeface="Arial" panose="020B0604020202020204" pitchFamily="34" charset="0"/>
              </a:endParaRPr>
            </a:p>
            <a:p>
              <a:pPr lvl="0"/>
              <a:r>
                <a:rPr lang="en-US" sz="1050">
                  <a:solidFill>
                    <a:schemeClr val="dk1"/>
                  </a:solidFill>
                  <a:effectLst/>
                  <a:latin typeface="Arial" panose="020B0604020202020204" pitchFamily="34" charset="0"/>
                  <a:ea typeface="+mn-ea"/>
                  <a:cs typeface="Arial" panose="020B0604020202020204" pitchFamily="34" charset="0"/>
                </a:rPr>
                <a:t>An equation is developed to represent water loss occurring in one part, after which the water loss is summed up to represent the entire system. ‘i’ represents the current time step, so that we can develop a general formula for each of these categories. The spreadsheet uses these formulae in columns 2 through 4 (B through D)</a:t>
              </a:r>
            </a:p>
            <a:p>
              <a:endParaRPr lang="en-US" sz="1050" u="sng">
                <a:solidFill>
                  <a:schemeClr val="dk1"/>
                </a:solidFill>
                <a:effectLst/>
                <a:latin typeface="Arial" panose="020B0604020202020204" pitchFamily="34" charset="0"/>
                <a:ea typeface="+mn-ea"/>
                <a:cs typeface="Arial" panose="020B0604020202020204" pitchFamily="34" charset="0"/>
              </a:endParaRPr>
            </a:p>
            <a:p>
              <a:endParaRPr lang="en-US" sz="1050" u="sng">
                <a:solidFill>
                  <a:schemeClr val="dk1"/>
                </a:solidFill>
                <a:effectLst/>
                <a:latin typeface="Arial" panose="020B0604020202020204" pitchFamily="34" charset="0"/>
                <a:ea typeface="+mn-ea"/>
                <a:cs typeface="Arial" panose="020B0604020202020204" pitchFamily="34" charset="0"/>
              </a:endParaRPr>
            </a:p>
            <a:p>
              <a:r>
                <a:rPr lang="en-US" sz="1050" u="sng">
                  <a:solidFill>
                    <a:schemeClr val="dk1"/>
                  </a:solidFill>
                  <a:effectLst/>
                  <a:latin typeface="Arial" panose="020B0604020202020204" pitchFamily="34" charset="0"/>
                  <a:ea typeface="+mn-ea"/>
                  <a:cs typeface="Arial" panose="020B0604020202020204" pitchFamily="34" charset="0"/>
                </a:rPr>
                <a:t>Water lost due to backlog of unreported leakage:</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schematic shows how the backlog unreported leakage for the entire system is impacted after each part of the system is surveyed. Note that the backlog element considered here does not include any rise in leakage, as elements including rising leakage are calculated separately.</a:t>
              </a:r>
            </a:p>
            <a:p>
              <a:endParaRPr lang="en-US" sz="1050">
                <a:latin typeface="Arial" panose="020B0604020202020204" pitchFamily="34" charset="0"/>
                <a:cs typeface="Arial" panose="020B0604020202020204" pitchFamily="34" charset="0"/>
              </a:endParaRPr>
            </a:p>
          </xdr:txBody>
        </xdr:sp>
      </mc:Fallback>
    </mc:AlternateContent>
    <xdr:clientData/>
  </xdr:twoCellAnchor>
  <xdr:twoCellAnchor editAs="oneCell">
    <xdr:from>
      <xdr:col>0</xdr:col>
      <xdr:colOff>133350</xdr:colOff>
      <xdr:row>51</xdr:row>
      <xdr:rowOff>171450</xdr:rowOff>
    </xdr:from>
    <xdr:to>
      <xdr:col>4</xdr:col>
      <xdr:colOff>635</xdr:colOff>
      <xdr:row>64</xdr:row>
      <xdr:rowOff>50165</xdr:rowOff>
    </xdr:to>
    <xdr:pic>
      <xdr:nvPicPr>
        <xdr:cNvPr id="48" name="Picture 47">
          <a:extLst>
            <a:ext uri="{FF2B5EF4-FFF2-40B4-BE49-F238E27FC236}">
              <a16:creationId xmlns:a16="http://schemas.microsoft.com/office/drawing/2014/main" id="{F08176BC-7AF2-48A6-AB76-8A310C398AF8}"/>
            </a:ext>
            <a:ext uri="{C183D7F6-B498-43B3-948B-1728B52AA6E4}">
              <adec:decorative xmlns:adec="http://schemas.microsoft.com/office/drawing/2017/decorative" val="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1002625"/>
          <a:ext cx="4324985" cy="2078990"/>
        </a:xfrm>
        <a:prstGeom prst="rect">
          <a:avLst/>
        </a:prstGeom>
        <a:noFill/>
      </xdr:spPr>
    </xdr:pic>
    <xdr:clientData/>
  </xdr:twoCellAnchor>
  <xdr:oneCellAnchor>
    <xdr:from>
      <xdr:col>0</xdr:col>
      <xdr:colOff>0</xdr:colOff>
      <xdr:row>64</xdr:row>
      <xdr:rowOff>38100</xdr:rowOff>
    </xdr:from>
    <xdr:ext cx="11811000" cy="2828925"/>
    <xdr:sp macro="" textlink="">
      <xdr:nvSpPr>
        <xdr:cNvPr id="4" name="TextBox 3" descr="Figure: Decrease in backlog unreported leakage as each part of the distribution system is surveyed&#10;">
          <a:extLst>
            <a:ext uri="{FF2B5EF4-FFF2-40B4-BE49-F238E27FC236}">
              <a16:creationId xmlns:a16="http://schemas.microsoft.com/office/drawing/2014/main" id="{43347AB4-76D1-4AF5-90BB-AB68453A0F28}"/>
            </a:ext>
          </a:extLst>
        </xdr:cNvPr>
        <xdr:cNvSpPr txBox="1"/>
      </xdr:nvSpPr>
      <xdr:spPr>
        <a:xfrm>
          <a:off x="0" y="23069550"/>
          <a:ext cx="11811000" cy="2828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050">
              <a:solidFill>
                <a:schemeClr val="tx1"/>
              </a:solidFill>
              <a:effectLst/>
              <a:latin typeface="Arial" panose="020B0604020202020204" pitchFamily="34" charset="0"/>
              <a:ea typeface="+mn-ea"/>
              <a:cs typeface="Arial" panose="020B0604020202020204" pitchFamily="34" charset="0"/>
            </a:rPr>
            <a:t>Figure: Decrease in backlog unreported leakage as each part of the distribution system is surveyed</a:t>
          </a: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As parts of the system are surveyed serially, the overall backlog of unreported leakage drops by </a:t>
          </a:r>
          <a:r>
            <a:rPr lang="en-US" sz="1100" i="1">
              <a:solidFill>
                <a:schemeClr val="tx1"/>
              </a:solidFill>
              <a:effectLst/>
              <a:latin typeface="Arial" panose="020B0604020202020204" pitchFamily="34" charset="0"/>
              <a:ea typeface="+mn-ea"/>
              <a:cs typeface="Arial" panose="020B0604020202020204" pitchFamily="34" charset="0"/>
            </a:rPr>
            <a:t>l</a:t>
          </a:r>
          <a:r>
            <a:rPr lang="en-US" sz="1100" i="1" baseline="-25000">
              <a:solidFill>
                <a:schemeClr val="tx1"/>
              </a:solidFill>
              <a:effectLst/>
              <a:latin typeface="Arial" panose="020B0604020202020204" pitchFamily="34" charset="0"/>
              <a:ea typeface="+mn-ea"/>
              <a:cs typeface="Arial" panose="020B0604020202020204" pitchFamily="34" charset="0"/>
            </a:rPr>
            <a:t>o</a:t>
          </a:r>
          <a:r>
            <a:rPr lang="en-US" sz="1100">
              <a:solidFill>
                <a:schemeClr val="tx1"/>
              </a:solidFill>
              <a:effectLst/>
              <a:latin typeface="Arial" panose="020B0604020202020204" pitchFamily="34" charset="0"/>
              <a:ea typeface="+mn-ea"/>
              <a:cs typeface="Arial" panose="020B0604020202020204" pitchFamily="34" charset="0"/>
            </a:rPr>
            <a:t> in each time step (the backlog unreported leakage per part).</a:t>
          </a:r>
        </a:p>
        <a:p>
          <a:r>
            <a:rPr lang="en-US" sz="1100">
              <a:solidFill>
                <a:schemeClr val="tx1"/>
              </a:solidFill>
              <a:effectLst/>
              <a:latin typeface="Arial" panose="020B0604020202020204" pitchFamily="34" charset="0"/>
              <a:ea typeface="+mn-ea"/>
              <a:cs typeface="Arial" panose="020B0604020202020204" pitchFamily="34" charset="0"/>
            </a:rPr>
            <a:t>At time step ‘i’, the survey would begin for the i</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part of the system. Thus, the only leakage would be from the parts that have not been surveyed yet (N - i), and the one part to be </a:t>
          </a:r>
          <a:r>
            <a:rPr lang="en-US" sz="1100" u="sng">
              <a:solidFill>
                <a:schemeClr val="tx1"/>
              </a:solidFill>
              <a:effectLst/>
              <a:latin typeface="Arial" panose="020B0604020202020204" pitchFamily="34" charset="0"/>
              <a:ea typeface="+mn-ea"/>
              <a:cs typeface="Arial" panose="020B0604020202020204" pitchFamily="34" charset="0"/>
            </a:rPr>
            <a:t>surveyed by the end of the current time step</a:t>
          </a:r>
          <a:r>
            <a:rPr lang="en-US" sz="1100">
              <a:solidFill>
                <a:schemeClr val="tx1"/>
              </a:solidFill>
              <a:effectLst/>
              <a:latin typeface="Arial" panose="020B0604020202020204" pitchFamily="34" charset="0"/>
              <a:ea typeface="+mn-ea"/>
              <a:cs typeface="Arial" panose="020B0604020202020204" pitchFamily="34" charset="0"/>
            </a:rPr>
            <a:t>.</a:t>
          </a:r>
        </a:p>
        <a:p>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As parts of the system are surveyed serially, the overall backlog of unreported leakage drops by </a:t>
          </a:r>
          <a:r>
            <a:rPr lang="en-US" sz="1100" i="1">
              <a:solidFill>
                <a:schemeClr val="tx1"/>
              </a:solidFill>
              <a:effectLst/>
              <a:latin typeface="Arial" panose="020B0604020202020204" pitchFamily="34" charset="0"/>
              <a:ea typeface="+mn-ea"/>
              <a:cs typeface="Arial" panose="020B0604020202020204" pitchFamily="34" charset="0"/>
            </a:rPr>
            <a:t>l</a:t>
          </a:r>
          <a:r>
            <a:rPr lang="en-US" sz="1100" i="1" baseline="-25000">
              <a:solidFill>
                <a:schemeClr val="tx1"/>
              </a:solidFill>
              <a:effectLst/>
              <a:latin typeface="Arial" panose="020B0604020202020204" pitchFamily="34" charset="0"/>
              <a:ea typeface="+mn-ea"/>
              <a:cs typeface="Arial" panose="020B0604020202020204" pitchFamily="34" charset="0"/>
            </a:rPr>
            <a:t>o</a:t>
          </a:r>
          <a:r>
            <a:rPr lang="en-US" sz="1100">
              <a:solidFill>
                <a:schemeClr val="tx1"/>
              </a:solidFill>
              <a:effectLst/>
              <a:latin typeface="Arial" panose="020B0604020202020204" pitchFamily="34" charset="0"/>
              <a:ea typeface="+mn-ea"/>
              <a:cs typeface="Arial" panose="020B0604020202020204" pitchFamily="34" charset="0"/>
            </a:rPr>
            <a:t> in each time step (the backlog unreported leakage per part).</a:t>
          </a:r>
        </a:p>
        <a:p>
          <a:r>
            <a:rPr lang="en-US" sz="1100">
              <a:solidFill>
                <a:schemeClr val="tx1"/>
              </a:solidFill>
              <a:effectLst/>
              <a:latin typeface="Arial" panose="020B0604020202020204" pitchFamily="34" charset="0"/>
              <a:ea typeface="+mn-ea"/>
              <a:cs typeface="Arial" panose="020B0604020202020204" pitchFamily="34" charset="0"/>
            </a:rPr>
            <a:t>At time step ‘i’, the survey would begin for the i</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part of the system. Thus, during each time step, leakage would occur be from the parts that have not been surveyed yet (N - i), and one additionally part to be surveyed by the end of the current time step.</a:t>
          </a:r>
        </a:p>
        <a:p>
          <a:r>
            <a:rPr lang="en-US" sz="1100">
              <a:solidFill>
                <a:schemeClr val="tx1"/>
              </a:solidFill>
              <a:effectLst/>
              <a:latin typeface="Arial" panose="020B0604020202020204" pitchFamily="34" charset="0"/>
              <a:ea typeface="+mn-ea"/>
              <a:cs typeface="Arial" panose="020B0604020202020204" pitchFamily="34" charset="0"/>
            </a:rPr>
            <a:t>Number of parts not surveyed yet = (N – i) + 1 </a:t>
          </a:r>
        </a:p>
        <a:p>
          <a:r>
            <a:rPr lang="en-US" sz="1100">
              <a:solidFill>
                <a:schemeClr val="tx1"/>
              </a:solidFill>
              <a:effectLst/>
              <a:latin typeface="Arial" panose="020B0604020202020204" pitchFamily="34" charset="0"/>
              <a:ea typeface="+mn-ea"/>
              <a:cs typeface="Arial" panose="020B0604020202020204" pitchFamily="34" charset="0"/>
            </a:rPr>
            <a:t>Each part will leak at </a:t>
          </a:r>
          <a:r>
            <a:rPr lang="en-US" sz="1100" i="1">
              <a:solidFill>
                <a:schemeClr val="tx1"/>
              </a:solidFill>
              <a:effectLst/>
              <a:latin typeface="Arial" panose="020B0604020202020204" pitchFamily="34" charset="0"/>
              <a:ea typeface="+mn-ea"/>
              <a:cs typeface="Arial" panose="020B0604020202020204" pitchFamily="34" charset="0"/>
            </a:rPr>
            <a:t>l</a:t>
          </a:r>
          <a:r>
            <a:rPr lang="en-US" sz="1100" i="1" baseline="-25000">
              <a:solidFill>
                <a:schemeClr val="tx1"/>
              </a:solidFill>
              <a:effectLst/>
              <a:latin typeface="Arial" panose="020B0604020202020204" pitchFamily="34" charset="0"/>
              <a:ea typeface="+mn-ea"/>
              <a:cs typeface="Arial" panose="020B0604020202020204" pitchFamily="34" charset="0"/>
            </a:rPr>
            <a:t>o</a:t>
          </a:r>
          <a:r>
            <a:rPr lang="en-US" sz="1100">
              <a:solidFill>
                <a:schemeClr val="tx1"/>
              </a:solidFill>
              <a:effectLst/>
              <a:latin typeface="Arial" panose="020B0604020202020204" pitchFamily="34" charset="0"/>
              <a:ea typeface="+mn-ea"/>
              <a:cs typeface="Arial" panose="020B0604020202020204" pitchFamily="34" charset="0"/>
            </a:rPr>
            <a:t> during the current time step ΔT as shown in the dashed part of the schematic. The water loss occurring in time step ‘i’ from all parts in the system due to only backlog leakage is represented as:</a:t>
          </a:r>
        </a:p>
        <a:p>
          <a:r>
            <a:rPr lang="en-US" sz="1100">
              <a:solidFill>
                <a:schemeClr val="tx1"/>
              </a:solidFill>
              <a:effectLst/>
              <a:latin typeface="Arial" panose="020B0604020202020204" pitchFamily="34" charset="0"/>
              <a:ea typeface="+mn-ea"/>
              <a:cs typeface="Arial" panose="020B0604020202020204" pitchFamily="34" charset="0"/>
            </a:rPr>
            <a:t>ΔT x </a:t>
          </a:r>
          <a:r>
            <a:rPr lang="en-US" sz="1100" i="1">
              <a:solidFill>
                <a:schemeClr val="tx1"/>
              </a:solidFill>
              <a:effectLst/>
              <a:latin typeface="Arial" panose="020B0604020202020204" pitchFamily="34" charset="0"/>
              <a:ea typeface="+mn-ea"/>
              <a:cs typeface="Arial" panose="020B0604020202020204" pitchFamily="34" charset="0"/>
            </a:rPr>
            <a:t>l</a:t>
          </a:r>
          <a:r>
            <a:rPr lang="en-US" sz="1100" i="1" baseline="-25000">
              <a:solidFill>
                <a:schemeClr val="tx1"/>
              </a:solidFill>
              <a:effectLst/>
              <a:latin typeface="Arial" panose="020B0604020202020204" pitchFamily="34" charset="0"/>
              <a:ea typeface="+mn-ea"/>
              <a:cs typeface="Arial" panose="020B0604020202020204" pitchFamily="34" charset="0"/>
            </a:rPr>
            <a:t>o </a:t>
          </a:r>
          <a:r>
            <a:rPr lang="en-US" sz="1100">
              <a:solidFill>
                <a:schemeClr val="tx1"/>
              </a:solidFill>
              <a:effectLst/>
              <a:latin typeface="Arial" panose="020B0604020202020204" pitchFamily="34" charset="0"/>
              <a:ea typeface="+mn-ea"/>
              <a:cs typeface="Arial" panose="020B0604020202020204" pitchFamily="34" charset="0"/>
            </a:rPr>
            <a:t>x (N – i + 1)</a:t>
          </a:r>
        </a:p>
        <a:p>
          <a:endParaRPr lang="en-US" sz="1100" u="sng">
            <a:solidFill>
              <a:schemeClr val="tx1"/>
            </a:solidFill>
            <a:effectLst/>
            <a:latin typeface="Arial" panose="020B0604020202020204" pitchFamily="34" charset="0"/>
            <a:ea typeface="+mn-ea"/>
            <a:cs typeface="Arial" panose="020B0604020202020204" pitchFamily="34" charset="0"/>
          </a:endParaRPr>
        </a:p>
        <a:p>
          <a:r>
            <a:rPr lang="en-US" sz="1100" u="sng">
              <a:solidFill>
                <a:schemeClr val="tx1"/>
              </a:solidFill>
              <a:effectLst/>
              <a:latin typeface="Arial" panose="020B0604020202020204" pitchFamily="34" charset="0"/>
              <a:ea typeface="+mn-ea"/>
              <a:cs typeface="Arial" panose="020B0604020202020204" pitchFamily="34" charset="0"/>
            </a:rPr>
            <a:t>Water loss in parts of the system never surveyed:</a:t>
          </a:r>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Leakage level for each part increases as the rate of rise of leakage, till that part is surveyed. Thus, all the parts which have not been surveyed before are at the same leakage level by a particular time step.</a:t>
          </a: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rial" panose="020B0604020202020204" pitchFamily="34" charset="0"/>
            <a:cs typeface="Arial" panose="020B0604020202020204" pitchFamily="34" charset="0"/>
          </a:endParaRPr>
        </a:p>
      </xdr:txBody>
    </xdr:sp>
    <xdr:clientData/>
  </xdr:oneCellAnchor>
  <xdr:twoCellAnchor editAs="oneCell">
    <xdr:from>
      <xdr:col>0</xdr:col>
      <xdr:colOff>304800</xdr:colOff>
      <xdr:row>79</xdr:row>
      <xdr:rowOff>123825</xdr:rowOff>
    </xdr:from>
    <xdr:to>
      <xdr:col>4</xdr:col>
      <xdr:colOff>200025</xdr:colOff>
      <xdr:row>105</xdr:row>
      <xdr:rowOff>152400</xdr:rowOff>
    </xdr:to>
    <xdr:pic>
      <xdr:nvPicPr>
        <xdr:cNvPr id="49" name="Picture 48" descr="Figure: Rise in leakage in parts of the system never surveyed before.">
          <a:extLst>
            <a:ext uri="{FF2B5EF4-FFF2-40B4-BE49-F238E27FC236}">
              <a16:creationId xmlns:a16="http://schemas.microsoft.com/office/drawing/2014/main" id="{97D12363-DAC5-4272-998A-5F925229184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869900"/>
          <a:ext cx="4352925" cy="4267200"/>
        </a:xfrm>
        <a:prstGeom prst="rect">
          <a:avLst/>
        </a:prstGeom>
        <a:noFill/>
      </xdr:spPr>
    </xdr:pic>
    <xdr:clientData/>
  </xdr:twoCellAnchor>
  <xdr:oneCellAnchor>
    <xdr:from>
      <xdr:col>0</xdr:col>
      <xdr:colOff>285750</xdr:colOff>
      <xdr:row>150</xdr:row>
      <xdr:rowOff>133350</xdr:rowOff>
    </xdr:from>
    <xdr:ext cx="11401425" cy="828675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7A4B707-BAEC-46AA-A1F2-EEC52AE09C22}"/>
                </a:ext>
              </a:extLst>
            </xdr:cNvPr>
            <xdr:cNvSpPr txBox="1"/>
          </xdr:nvSpPr>
          <xdr:spPr>
            <a:xfrm>
              <a:off x="285750" y="37985700"/>
              <a:ext cx="11401425" cy="828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solidFill>
                    <a:schemeClr val="tx1"/>
                  </a:solidFill>
                  <a:effectLst/>
                  <a:latin typeface="Arial" panose="020B0604020202020204" pitchFamily="34" charset="0"/>
                  <a:ea typeface="+mn-ea"/>
                  <a:cs typeface="Arial" panose="020B0604020202020204" pitchFamily="34" charset="0"/>
                </a:rPr>
                <a:t>The rise in leakage to the beginning of the time step is represented by: </a:t>
              </a:r>
            </a:p>
            <a:p>
              <a:pPr algn="l"/>
              <a:r>
                <a:rPr lang="en-US" sz="1100">
                  <a:solidFill>
                    <a:schemeClr val="tx1"/>
                  </a:solidFill>
                  <a:effectLst/>
                  <a:latin typeface="Arial" panose="020B0604020202020204" pitchFamily="34" charset="0"/>
                  <a:ea typeface="+mn-ea"/>
                  <a:cs typeface="Arial" panose="020B0604020202020204" pitchFamily="34" charset="0"/>
                </a:rPr>
                <a:t>Rate of rise of leakage x time passed prior to current time step </a:t>
              </a:r>
            </a:p>
            <a:p>
              <a:pPr algn="l"/>
              <a:r>
                <a:rPr lang="en-US" sz="1100">
                  <a:solidFill>
                    <a:schemeClr val="tx1"/>
                  </a:solidFill>
                  <a:effectLst/>
                  <a:latin typeface="Arial" panose="020B0604020202020204" pitchFamily="34" charset="0"/>
                  <a:ea typeface="+mn-ea"/>
                  <a:cs typeface="Arial" panose="020B0604020202020204" pitchFamily="34" charset="0"/>
                </a:rPr>
                <a:t>If ‘j’ time steps have passed, time passed after ‘j’ time steps = j × ΔT</a:t>
              </a:r>
            </a:p>
            <a:p>
              <a:pPr algn="l"/>
              <a:r>
                <a:rPr lang="en-US" sz="1100">
                  <a:solidFill>
                    <a:schemeClr val="tx1"/>
                  </a:solidFill>
                  <a:effectLst/>
                  <a:latin typeface="Arial" panose="020B0604020202020204" pitchFamily="34" charset="0"/>
                  <a:ea typeface="+mn-ea"/>
                  <a:cs typeface="Arial" panose="020B0604020202020204" pitchFamily="34" charset="0"/>
                </a:rPr>
                <a:t>The leakage level only due to natural rise in leakage, at the beginning of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or at the end of the (j-1)</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is = r × (j-1) × ΔT</a:t>
              </a:r>
            </a:p>
            <a:p>
              <a:pPr algn="l"/>
              <a:r>
                <a:rPr lang="en-US" sz="1100">
                  <a:solidFill>
                    <a:schemeClr val="tx1"/>
                  </a:solidFill>
                  <a:effectLst/>
                  <a:latin typeface="Arial" panose="020B0604020202020204" pitchFamily="34" charset="0"/>
                  <a:ea typeface="+mn-ea"/>
                  <a:cs typeface="Arial" panose="020B0604020202020204" pitchFamily="34" charset="0"/>
                </a:rPr>
                <a:t>The leakage level at the end of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is = r × j × ΔT.</a:t>
              </a: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The leakage volume lost during this time step is represented by the transition from the lower leakage level to the higher leakage level across time step ΔT, which is the area under the curve, which is a trapezoid, summed for all the parts of the system. Each part of the system will contribute to the overall leakage in this component as follows:</a:t>
              </a: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𝑃𝑎𝑟𝑡</m:t>
                  </m:r>
                  <m:r>
                    <a:rPr lang="en-US" sz="1100" i="1">
                      <a:solidFill>
                        <a:schemeClr val="tx1"/>
                      </a:solidFill>
                      <a:effectLst/>
                      <a:latin typeface="Cambria Math" panose="02040503050406030204" pitchFamily="18" charset="0"/>
                      <a:ea typeface="+mn-ea"/>
                      <a:cs typeface="+mn-cs"/>
                    </a:rPr>
                    <m:t> 1:</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𝟎</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oMath>
              </a14:m>
              <a:r>
                <a:rPr lang="en-US" sz="1100">
                  <a:solidFill>
                    <a:schemeClr val="tx1"/>
                  </a:solidFill>
                  <a:effectLst/>
                  <a:latin typeface="Arial" panose="020B0604020202020204" pitchFamily="34" charset="0"/>
                  <a:ea typeface="+mn-ea"/>
                  <a:cs typeface="Arial" panose="020B0604020202020204" pitchFamily="34" charset="0"/>
                </a:rPr>
                <a:t>; </a:t>
              </a:r>
              <a14:m>
                <m:oMath xmlns:m="http://schemas.openxmlformats.org/officeDocument/2006/math">
                  <m:r>
                    <a:rPr lang="en-US" sz="1100" i="1">
                      <a:solidFill>
                        <a:schemeClr val="tx1"/>
                      </a:solidFill>
                      <a:effectLst/>
                      <a:latin typeface="Cambria Math" panose="02040503050406030204" pitchFamily="18" charset="0"/>
                      <a:ea typeface="+mn-ea"/>
                      <a:cs typeface="+mn-cs"/>
                    </a:rPr>
                    <m:t>𝑃𝑎𝑟𝑡</m:t>
                  </m:r>
                  <m:r>
                    <a:rPr lang="en-US" sz="1100" i="1">
                      <a:solidFill>
                        <a:schemeClr val="tx1"/>
                      </a:solidFill>
                      <a:effectLst/>
                      <a:latin typeface="Cambria Math" panose="02040503050406030204" pitchFamily="18" charset="0"/>
                      <a:ea typeface="+mn-ea"/>
                      <a:cs typeface="+mn-cs"/>
                    </a:rPr>
                    <m:t> 2: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𝟐</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oMath>
              </a14:m>
              <a:r>
                <a:rPr lang="en-US" sz="1100">
                  <a:solidFill>
                    <a:schemeClr val="tx1"/>
                  </a:solidFill>
                  <a:effectLst/>
                  <a:latin typeface="Arial" panose="020B0604020202020204" pitchFamily="34" charset="0"/>
                  <a:ea typeface="+mn-ea"/>
                  <a:cs typeface="Arial" panose="020B0604020202020204" pitchFamily="34" charset="0"/>
                </a:rPr>
                <a:t>; </a:t>
              </a:r>
              <a14:m>
                <m:oMath xmlns:m="http://schemas.openxmlformats.org/officeDocument/2006/math">
                  <m:r>
                    <a:rPr lang="en-US" sz="1100" i="1">
                      <a:solidFill>
                        <a:schemeClr val="tx1"/>
                      </a:solidFill>
                      <a:effectLst/>
                      <a:latin typeface="Cambria Math" panose="02040503050406030204" pitchFamily="18" charset="0"/>
                      <a:ea typeface="+mn-ea"/>
                      <a:cs typeface="+mn-cs"/>
                    </a:rPr>
                    <m:t>𝑃𝑎𝑟𝑡</m:t>
                  </m:r>
                  <m:r>
                    <a:rPr lang="en-US" sz="1100" i="1">
                      <a:solidFill>
                        <a:schemeClr val="tx1"/>
                      </a:solidFill>
                      <a:effectLst/>
                      <a:latin typeface="Cambria Math" panose="02040503050406030204" pitchFamily="18" charset="0"/>
                      <a:ea typeface="+mn-ea"/>
                      <a:cs typeface="+mn-cs"/>
                    </a:rPr>
                    <m:t> 3: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𝟐</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𝟑</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oMath>
              </a14:m>
              <a:r>
                <a:rPr lang="en-US" sz="1100">
                  <a:solidFill>
                    <a:schemeClr val="tx1"/>
                  </a:solidFill>
                  <a:effectLst/>
                  <a:latin typeface="Arial" panose="020B0604020202020204" pitchFamily="34" charset="0"/>
                  <a:ea typeface="+mn-ea"/>
                  <a:cs typeface="Arial" panose="020B0604020202020204" pitchFamily="34" charset="0"/>
                </a:rPr>
                <a:t>…; </a:t>
              </a:r>
              <a14:m>
                <m:oMath xmlns:m="http://schemas.openxmlformats.org/officeDocument/2006/math">
                  <m:r>
                    <a:rPr lang="en-US" sz="1100" i="1">
                      <a:solidFill>
                        <a:schemeClr val="tx1"/>
                      </a:solidFill>
                      <a:effectLst/>
                      <a:latin typeface="Cambria Math" panose="02040503050406030204" pitchFamily="18" charset="0"/>
                      <a:ea typeface="+mn-ea"/>
                      <a:cs typeface="+mn-cs"/>
                    </a:rPr>
                    <m:t>𝑃𝑎𝑟𝑡</m:t>
                  </m:r>
                  <m:r>
                    <a:rPr lang="en-US" sz="1100" i="1">
                      <a:solidFill>
                        <a:schemeClr val="tx1"/>
                      </a:solidFill>
                      <a:effectLst/>
                      <a:latin typeface="Cambria Math" panose="02040503050406030204" pitchFamily="18" charset="0"/>
                      <a:ea typeface="+mn-ea"/>
                      <a:cs typeface="+mn-cs"/>
                    </a:rPr>
                    <m:t> </m:t>
                  </m:r>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𝒋</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r>
                        <a:rPr lang="en-US" sz="1100" b="1"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𝒋</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oMath>
              </a14:m>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Simplifying the leakage volume lost during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for a single part as follows:</a:t>
              </a: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𝒋</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r>
                        <a:rPr lang="en-US" sz="1100" b="1"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𝒋</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oMath>
              </a14:m>
              <a:r>
                <a:rPr lang="en-US" sz="1100">
                  <a:solidFill>
                    <a:schemeClr val="tx1"/>
                  </a:solidFill>
                  <a:effectLst/>
                  <a:latin typeface="Arial" panose="020B0604020202020204" pitchFamily="34" charset="0"/>
                  <a:ea typeface="+mn-ea"/>
                  <a:cs typeface="Arial" panose="020B0604020202020204" pitchFamily="34" charset="0"/>
                </a:rPr>
                <a:t> </a:t>
              </a: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oMath>
              </a14:m>
              <a:r>
                <a:rPr lang="en-US" sz="1100">
                  <a:solidFill>
                    <a:schemeClr val="tx1"/>
                  </a:solidFill>
                  <a:effectLst/>
                  <a:latin typeface="Arial" panose="020B0604020202020204" pitchFamily="34" charset="0"/>
                  <a:ea typeface="+mn-ea"/>
                  <a:cs typeface="Arial" panose="020B0604020202020204" pitchFamily="34" charset="0"/>
                </a:rPr>
                <a:t> </a:t>
              </a: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2×</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oMath>
              </a14:m>
              <a:r>
                <a:rPr lang="en-US" sz="1100">
                  <a:solidFill>
                    <a:schemeClr val="tx1"/>
                  </a:solidFill>
                  <a:effectLst/>
                  <a:latin typeface="Arial" panose="020B0604020202020204" pitchFamily="34" charset="0"/>
                  <a:ea typeface="+mn-ea"/>
                  <a:cs typeface="Arial" panose="020B0604020202020204" pitchFamily="34" charset="0"/>
                </a:rPr>
                <a:t> </a:t>
              </a: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oMath>
              </a14:m>
              <a:r>
                <a:rPr lang="en-US" sz="1100">
                  <a:solidFill>
                    <a:schemeClr val="tx1"/>
                  </a:solidFill>
                  <a:effectLst/>
                  <a:latin typeface="Arial" panose="020B0604020202020204" pitchFamily="34" charset="0"/>
                  <a:ea typeface="+mn-ea"/>
                  <a:cs typeface="Arial" panose="020B0604020202020204" pitchFamily="34" charset="0"/>
                </a:rPr>
                <a:t> </a:t>
              </a: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e>
                  </m:d>
                </m:oMath>
              </a14:m>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If the distribution system is being surveyed for the first time, only ‘(j-1)’ parts have been surveyed when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begins, and will contribute to this element of leakage:</a:t>
              </a: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nary>
                      <m:naryPr>
                        <m:chr m:val="∑"/>
                        <m:limLoc m:val="undOvr"/>
                        <m:ctrlPr>
                          <a:rPr lang="en-US" sz="1100" i="1">
                            <a:solidFill>
                              <a:schemeClr val="tx1"/>
                            </a:solidFill>
                            <a:effectLst/>
                            <a:latin typeface="Cambria Math" panose="02040503050406030204" pitchFamily="18" charset="0"/>
                            <a:ea typeface="+mn-ea"/>
                            <a:cs typeface="+mn-cs"/>
                          </a:rPr>
                        </m:ctrlPr>
                      </m:naryPr>
                      <m:sub>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=1</m:t>
                        </m:r>
                      </m:sub>
                      <m:sup>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sup>
                      <m:e>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e>
                        </m:d>
                      </m:e>
                    </m:nary>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The summation of an integer is represented by: </a:t>
              </a:r>
            </a:p>
            <a:p>
              <a:pPr algn="l"/>
              <a14:m>
                <m:oMathPara xmlns:m="http://schemas.openxmlformats.org/officeDocument/2006/math">
                  <m:oMathParaPr>
                    <m:jc m:val="left"/>
                  </m:oMathParaPr>
                  <m:oMath xmlns:m="http://schemas.openxmlformats.org/officeDocument/2006/math">
                    <m:nary>
                      <m:naryPr>
                        <m:chr m:val="∑"/>
                        <m:limLoc m:val="undOvr"/>
                        <m:ctrlPr>
                          <a:rPr lang="en-US" sz="1100" i="1">
                            <a:solidFill>
                              <a:schemeClr val="tx1"/>
                            </a:solidFill>
                            <a:effectLst/>
                            <a:latin typeface="Cambria Math" panose="02040503050406030204" pitchFamily="18" charset="0"/>
                            <a:ea typeface="+mn-ea"/>
                            <a:cs typeface="+mn-cs"/>
                          </a:rPr>
                        </m:ctrlPr>
                      </m:naryPr>
                      <m:sub>
                        <m:r>
                          <a:rPr lang="en-US" sz="1100" i="1">
                            <a:solidFill>
                              <a:schemeClr val="tx1"/>
                            </a:solidFill>
                            <a:effectLst/>
                            <a:latin typeface="Cambria Math" panose="02040503050406030204" pitchFamily="18" charset="0"/>
                            <a:ea typeface="+mn-ea"/>
                            <a:cs typeface="+mn-cs"/>
                          </a:rPr>
                          <m:t>𝑥</m:t>
                        </m:r>
                        <m:r>
                          <a:rPr lang="en-US" sz="1100" i="1">
                            <a:solidFill>
                              <a:schemeClr val="tx1"/>
                            </a:solidFill>
                            <a:effectLst/>
                            <a:latin typeface="Cambria Math" panose="02040503050406030204" pitchFamily="18" charset="0"/>
                            <a:ea typeface="+mn-ea"/>
                            <a:cs typeface="+mn-cs"/>
                          </a:rPr>
                          <m:t>=1</m:t>
                        </m:r>
                      </m:sub>
                      <m:sup>
                        <m:r>
                          <a:rPr lang="en-US" sz="1100" i="1">
                            <a:solidFill>
                              <a:schemeClr val="tx1"/>
                            </a:solidFill>
                            <a:effectLst/>
                            <a:latin typeface="Cambria Math" panose="02040503050406030204" pitchFamily="18" charset="0"/>
                            <a:ea typeface="+mn-ea"/>
                            <a:cs typeface="+mn-cs"/>
                          </a:rPr>
                          <m:t>𝑛</m:t>
                        </m:r>
                      </m:sup>
                      <m:e>
                        <m:r>
                          <a:rPr lang="en-US" sz="1100" i="1">
                            <a:solidFill>
                              <a:schemeClr val="tx1"/>
                            </a:solidFill>
                            <a:effectLst/>
                            <a:latin typeface="Cambria Math" panose="02040503050406030204" pitchFamily="18" charset="0"/>
                            <a:ea typeface="+mn-ea"/>
                            <a:cs typeface="+mn-cs"/>
                          </a:rPr>
                          <m:t>𝑥</m:t>
                        </m:r>
                        <m:r>
                          <a:rPr lang="en-US" sz="1100" i="1">
                            <a:solidFill>
                              <a:schemeClr val="tx1"/>
                            </a:solidFill>
                            <a:effectLst/>
                            <a:latin typeface="Cambria Math" panose="02040503050406030204" pitchFamily="18" charset="0"/>
                            <a:ea typeface="+mn-ea"/>
                            <a:cs typeface="+mn-cs"/>
                          </a:rPr>
                          <m:t>= </m:t>
                        </m:r>
                      </m:e>
                    </m:nary>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𝑛</m:t>
                        </m:r>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𝑛</m:t>
                            </m:r>
                            <m:r>
                              <a:rPr lang="en-US" sz="1100" i="1">
                                <a:solidFill>
                                  <a:schemeClr val="tx1"/>
                                </a:solidFill>
                                <a:effectLst/>
                                <a:latin typeface="Cambria Math" panose="02040503050406030204" pitchFamily="18" charset="0"/>
                                <a:ea typeface="+mn-ea"/>
                                <a:cs typeface="+mn-cs"/>
                              </a:rPr>
                              <m:t>+1</m:t>
                            </m:r>
                          </m:e>
                        </m:d>
                      </m:num>
                      <m:den>
                        <m:r>
                          <a:rPr lang="en-US" sz="1100" i="1">
                            <a:solidFill>
                              <a:schemeClr val="tx1"/>
                            </a:solidFill>
                            <a:effectLst/>
                            <a:latin typeface="Cambria Math" panose="02040503050406030204" pitchFamily="18" charset="0"/>
                            <a:ea typeface="+mn-ea"/>
                            <a:cs typeface="+mn-cs"/>
                          </a:rPr>
                          <m:t>2</m:t>
                        </m:r>
                      </m:den>
                    </m:f>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The summation of a constant is represented by:</a:t>
              </a:r>
            </a:p>
            <a:p>
              <a:pPr algn="l"/>
              <a14:m>
                <m:oMathPara xmlns:m="http://schemas.openxmlformats.org/officeDocument/2006/math">
                  <m:oMathParaPr>
                    <m:jc m:val="left"/>
                  </m:oMathParaPr>
                  <m:oMath xmlns:m="http://schemas.openxmlformats.org/officeDocument/2006/math">
                    <m:nary>
                      <m:naryPr>
                        <m:chr m:val="∑"/>
                        <m:limLoc m:val="undOvr"/>
                        <m:ctrlPr>
                          <a:rPr lang="en-US" sz="1100" i="1">
                            <a:solidFill>
                              <a:schemeClr val="tx1"/>
                            </a:solidFill>
                            <a:effectLst/>
                            <a:latin typeface="Cambria Math" panose="02040503050406030204" pitchFamily="18" charset="0"/>
                            <a:ea typeface="+mn-ea"/>
                            <a:cs typeface="+mn-cs"/>
                          </a:rPr>
                        </m:ctrlPr>
                      </m:naryPr>
                      <m:sub>
                        <m:r>
                          <a:rPr lang="en-US" sz="1100" i="1">
                            <a:solidFill>
                              <a:schemeClr val="tx1"/>
                            </a:solidFill>
                            <a:effectLst/>
                            <a:latin typeface="Cambria Math" panose="02040503050406030204" pitchFamily="18" charset="0"/>
                            <a:ea typeface="+mn-ea"/>
                            <a:cs typeface="+mn-cs"/>
                          </a:rPr>
                          <m:t>𝑥</m:t>
                        </m:r>
                        <m:r>
                          <a:rPr lang="en-US" sz="1100" i="1">
                            <a:solidFill>
                              <a:schemeClr val="tx1"/>
                            </a:solidFill>
                            <a:effectLst/>
                            <a:latin typeface="Cambria Math" panose="02040503050406030204" pitchFamily="18" charset="0"/>
                            <a:ea typeface="+mn-ea"/>
                            <a:cs typeface="+mn-cs"/>
                          </a:rPr>
                          <m:t>=1</m:t>
                        </m:r>
                      </m:sub>
                      <m:sup>
                        <m:r>
                          <a:rPr lang="en-US" sz="1100" i="1">
                            <a:solidFill>
                              <a:schemeClr val="tx1"/>
                            </a:solidFill>
                            <a:effectLst/>
                            <a:latin typeface="Cambria Math" panose="02040503050406030204" pitchFamily="18" charset="0"/>
                            <a:ea typeface="+mn-ea"/>
                            <a:cs typeface="+mn-cs"/>
                          </a:rPr>
                          <m:t>𝑛</m:t>
                        </m:r>
                      </m:sup>
                      <m:e>
                        <m:r>
                          <a:rPr lang="en-US" sz="1100" i="1">
                            <a:solidFill>
                              <a:schemeClr val="tx1"/>
                            </a:solidFill>
                            <a:effectLst/>
                            <a:latin typeface="Cambria Math" panose="02040503050406030204" pitchFamily="18" charset="0"/>
                            <a:ea typeface="+mn-ea"/>
                            <a:cs typeface="+mn-cs"/>
                          </a:rPr>
                          <m:t>𝑐</m:t>
                        </m:r>
                        <m:r>
                          <a:rPr lang="en-US" sz="1100" i="1">
                            <a:solidFill>
                              <a:schemeClr val="tx1"/>
                            </a:solidFill>
                            <a:effectLst/>
                            <a:latin typeface="Cambria Math" panose="02040503050406030204" pitchFamily="18" charset="0"/>
                            <a:ea typeface="+mn-ea"/>
                            <a:cs typeface="+mn-cs"/>
                          </a:rPr>
                          <m:t>= </m:t>
                        </m:r>
                      </m:e>
                    </m:nary>
                    <m:r>
                      <a:rPr lang="en-US" sz="1100" i="1">
                        <a:solidFill>
                          <a:schemeClr val="tx1"/>
                        </a:solidFill>
                        <a:effectLst/>
                        <a:latin typeface="Cambria Math" panose="02040503050406030204" pitchFamily="18" charset="0"/>
                        <a:ea typeface="+mn-ea"/>
                        <a:cs typeface="+mn-cs"/>
                      </a:rPr>
                      <m:t>𝑛</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𝑐</m:t>
                    </m:r>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Thus,</a:t>
              </a: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nary>
                      <m:naryPr>
                        <m:chr m:val="∑"/>
                        <m:limLoc m:val="undOvr"/>
                        <m:ctrlPr>
                          <a:rPr lang="en-US" sz="1100" i="1">
                            <a:solidFill>
                              <a:schemeClr val="tx1"/>
                            </a:solidFill>
                            <a:effectLst/>
                            <a:latin typeface="Cambria Math" panose="02040503050406030204" pitchFamily="18" charset="0"/>
                            <a:ea typeface="+mn-ea"/>
                            <a:cs typeface="+mn-cs"/>
                          </a:rPr>
                        </m:ctrlPr>
                      </m:naryPr>
                      <m:sub>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=1</m:t>
                        </m:r>
                      </m:sub>
                      <m:sup>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sup>
                      <m:e>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e>
                        </m:d>
                      </m:e>
                    </m:nary>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f>
                          <m:fPr>
                            <m:ctrlPr>
                              <a:rPr lang="en-US" sz="1100" i="1">
                                <a:solidFill>
                                  <a:schemeClr val="tx1"/>
                                </a:solidFill>
                                <a:effectLst/>
                                <a:latin typeface="Cambria Math" panose="02040503050406030204" pitchFamily="18" charset="0"/>
                                <a:ea typeface="+mn-ea"/>
                                <a:cs typeface="+mn-cs"/>
                              </a:rPr>
                            </m:ctrlPr>
                          </m:fPr>
                          <m:num>
                            <m:d>
                              <m:dPr>
                                <m:ctrlPr>
                                  <a:rPr lang="en-US" sz="11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𝒊</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e>
                            </m:d>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d>
                                  <m:dPr>
                                    <m:ctrlPr>
                                      <a:rPr lang="en-US" sz="11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𝒊</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e>
                                </m:d>
                                <m:r>
                                  <a:rPr lang="en-US" sz="1100" i="1">
                                    <a:solidFill>
                                      <a:schemeClr val="tx1"/>
                                    </a:solidFill>
                                    <a:effectLst/>
                                    <a:latin typeface="Cambria Math" panose="02040503050406030204" pitchFamily="18" charset="0"/>
                                    <a:ea typeface="+mn-ea"/>
                                    <a:cs typeface="+mn-cs"/>
                                  </a:rPr>
                                  <m:t>+1</m:t>
                                </m:r>
                              </m:e>
                            </m:d>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d>
                              <m:dPr>
                                <m:ctrlPr>
                                  <a:rPr lang="en-US" sz="11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𝒊</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e>
                            </m:d>
                          </m:num>
                          <m:den>
                            <m:r>
                              <a:rPr lang="en-US" sz="1100" i="1">
                                <a:solidFill>
                                  <a:schemeClr val="tx1"/>
                                </a:solidFill>
                                <a:effectLst/>
                                <a:latin typeface="Cambria Math" panose="02040503050406030204" pitchFamily="18" charset="0"/>
                                <a:ea typeface="+mn-ea"/>
                                <a:cs typeface="+mn-cs"/>
                              </a:rPr>
                              <m:t>2</m:t>
                            </m:r>
                          </m:den>
                        </m:f>
                      </m:e>
                    </m:d>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f>
                          <m:fPr>
                            <m:ctrlPr>
                              <a:rPr lang="en-US" sz="1100" i="1">
                                <a:solidFill>
                                  <a:schemeClr val="tx1"/>
                                </a:solidFill>
                                <a:effectLst/>
                                <a:latin typeface="Cambria Math" panose="02040503050406030204" pitchFamily="18" charset="0"/>
                                <a:ea typeface="+mn-ea"/>
                                <a:cs typeface="+mn-cs"/>
                              </a:rPr>
                            </m:ctrlPr>
                          </m:fPr>
                          <m:num>
                            <m:d>
                              <m:dPr>
                                <m:ctrlPr>
                                  <a:rPr lang="en-US" sz="11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𝒊</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e>
                            </m:d>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e>
                            </m:d>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d>
                              <m:dPr>
                                <m:ctrlPr>
                                  <a:rPr lang="en-US" sz="11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𝒊</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e>
                            </m:d>
                          </m:num>
                          <m:den>
                            <m:r>
                              <a:rPr lang="en-US" sz="1100" i="1">
                                <a:solidFill>
                                  <a:schemeClr val="tx1"/>
                                </a:solidFill>
                                <a:effectLst/>
                                <a:latin typeface="Cambria Math" panose="02040503050406030204" pitchFamily="18" charset="0"/>
                                <a:ea typeface="+mn-ea"/>
                                <a:cs typeface="+mn-cs"/>
                              </a:rPr>
                              <m:t>2</m:t>
                            </m:r>
                          </m:den>
                        </m:f>
                      </m:e>
                    </m:d>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f>
                          <m:fPr>
                            <m:ctrlPr>
                              <a:rPr lang="en-US" sz="1100" i="1">
                                <a:solidFill>
                                  <a:schemeClr val="tx1"/>
                                </a:solidFill>
                                <a:effectLst/>
                                <a:latin typeface="Cambria Math" panose="02040503050406030204" pitchFamily="18" charset="0"/>
                                <a:ea typeface="+mn-ea"/>
                                <a:cs typeface="+mn-cs"/>
                              </a:rPr>
                            </m:ctrlPr>
                          </m:fPr>
                          <m:num>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𝑖</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−2×</m:t>
                            </m:r>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e>
                    </m:d>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f>
                          <m:fPr>
                            <m:ctrlPr>
                              <a:rPr lang="en-US" sz="1100" i="1">
                                <a:solidFill>
                                  <a:schemeClr val="tx1"/>
                                </a:solidFill>
                                <a:effectLst/>
                                <a:latin typeface="Cambria Math" panose="02040503050406030204" pitchFamily="18" charset="0"/>
                                <a:ea typeface="+mn-ea"/>
                                <a:cs typeface="+mn-cs"/>
                              </a:rPr>
                            </m:ctrlPr>
                          </m:fPr>
                          <m:num>
                            <m:sSup>
                              <m:sSupPr>
                                <m:ctrlPr>
                                  <a:rPr lang="en-US" sz="1100" i="1">
                                    <a:solidFill>
                                      <a:schemeClr val="tx1"/>
                                    </a:solidFill>
                                    <a:effectLst/>
                                    <a:latin typeface="Cambria Math" panose="02040503050406030204" pitchFamily="18" charset="0"/>
                                    <a:ea typeface="+mn-ea"/>
                                    <a:cs typeface="+mn-cs"/>
                                  </a:rPr>
                                </m:ctrlPr>
                              </m:sSupPr>
                              <m:e>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e>
                                </m:d>
                              </m:e>
                              <m:sup>
                                <m:r>
                                  <a:rPr lang="en-US" sz="1100" i="1">
                                    <a:solidFill>
                                      <a:schemeClr val="tx1"/>
                                    </a:solidFill>
                                    <a:effectLst/>
                                    <a:latin typeface="Cambria Math" panose="02040503050406030204" pitchFamily="18" charset="0"/>
                                    <a:ea typeface="+mn-ea"/>
                                    <a:cs typeface="+mn-cs"/>
                                  </a:rPr>
                                  <m:t>2</m:t>
                                </m:r>
                              </m:sup>
                            </m:sSup>
                          </m:num>
                          <m:den>
                            <m:r>
                              <a:rPr lang="en-US" sz="1100" i="1">
                                <a:solidFill>
                                  <a:schemeClr val="tx1"/>
                                </a:solidFill>
                                <a:effectLst/>
                                <a:latin typeface="Cambria Math" panose="02040503050406030204" pitchFamily="18" charset="0"/>
                                <a:ea typeface="+mn-ea"/>
                                <a:cs typeface="+mn-cs"/>
                              </a:rPr>
                              <m:t>2</m:t>
                            </m:r>
                          </m:den>
                        </m:f>
                      </m:e>
                    </m:d>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If the system has undergone a complete survey and this is the next round of surveying, ‘N’ parts have been surveyed before, and all will contribute to this element of leakage. After one survey, and the backlog of leakage is reduced, this element of leakage is the only one that constitutes the overall leakage for the distribution system:</a:t>
              </a: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𝑁</m:t>
                        </m:r>
                      </m:e>
                      <m:sup>
                        <m:r>
                          <a:rPr lang="en-US" sz="1100" i="1">
                            <a:solidFill>
                              <a:schemeClr val="tx1"/>
                            </a:solidFill>
                            <a:effectLst/>
                            <a:latin typeface="Cambria Math" panose="02040503050406030204" pitchFamily="18" charset="0"/>
                            <a:ea typeface="+mn-ea"/>
                            <a:cs typeface="+mn-cs"/>
                          </a:rPr>
                          <m:t>2</m:t>
                        </m:r>
                      </m:sup>
                    </m:sSup>
                  </m:oMath>
                </m:oMathPara>
              </a14:m>
              <a:endParaRPr lang="en-US" sz="1100">
                <a:solidFill>
                  <a:schemeClr val="tx1"/>
                </a:solidFill>
                <a:effectLst/>
                <a:latin typeface="Arial" panose="020B0604020202020204" pitchFamily="34" charset="0"/>
                <a:ea typeface="+mn-ea"/>
                <a:cs typeface="Arial" panose="020B0604020202020204" pitchFamily="34" charset="0"/>
              </a:endParaRPr>
            </a:p>
          </xdr:txBody>
        </xdr:sp>
      </mc:Choice>
      <mc:Fallback xmlns="">
        <xdr:sp macro="" textlink="">
          <xdr:nvSpPr>
            <xdr:cNvPr id="8" name="TextBox 7">
              <a:extLst>
                <a:ext uri="{FF2B5EF4-FFF2-40B4-BE49-F238E27FC236}">
                  <a16:creationId xmlns:a16="http://schemas.microsoft.com/office/drawing/2014/main" id="{27A4B707-BAEC-46AA-A1F2-EEC52AE09C22}"/>
                </a:ext>
              </a:extLst>
            </xdr:cNvPr>
            <xdr:cNvSpPr txBox="1"/>
          </xdr:nvSpPr>
          <xdr:spPr>
            <a:xfrm>
              <a:off x="285750" y="37985700"/>
              <a:ext cx="11401425" cy="828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solidFill>
                    <a:schemeClr val="tx1"/>
                  </a:solidFill>
                  <a:effectLst/>
                  <a:latin typeface="Arial" panose="020B0604020202020204" pitchFamily="34" charset="0"/>
                  <a:ea typeface="+mn-ea"/>
                  <a:cs typeface="Arial" panose="020B0604020202020204" pitchFamily="34" charset="0"/>
                </a:rPr>
                <a:t>The rise in leakage to the beginning of the time step is represented by: </a:t>
              </a:r>
            </a:p>
            <a:p>
              <a:pPr algn="l"/>
              <a:r>
                <a:rPr lang="en-US" sz="1100">
                  <a:solidFill>
                    <a:schemeClr val="tx1"/>
                  </a:solidFill>
                  <a:effectLst/>
                  <a:latin typeface="Arial" panose="020B0604020202020204" pitchFamily="34" charset="0"/>
                  <a:ea typeface="+mn-ea"/>
                  <a:cs typeface="Arial" panose="020B0604020202020204" pitchFamily="34" charset="0"/>
                </a:rPr>
                <a:t>Rate of rise of leakage x time passed prior to current time step </a:t>
              </a:r>
            </a:p>
            <a:p>
              <a:pPr algn="l"/>
              <a:r>
                <a:rPr lang="en-US" sz="1100">
                  <a:solidFill>
                    <a:schemeClr val="tx1"/>
                  </a:solidFill>
                  <a:effectLst/>
                  <a:latin typeface="Arial" panose="020B0604020202020204" pitchFamily="34" charset="0"/>
                  <a:ea typeface="+mn-ea"/>
                  <a:cs typeface="Arial" panose="020B0604020202020204" pitchFamily="34" charset="0"/>
                </a:rPr>
                <a:t>If ‘j’ time steps have passed, time passed after ‘j’ time steps = j × ΔT</a:t>
              </a:r>
            </a:p>
            <a:p>
              <a:pPr algn="l"/>
              <a:r>
                <a:rPr lang="en-US" sz="1100">
                  <a:solidFill>
                    <a:schemeClr val="tx1"/>
                  </a:solidFill>
                  <a:effectLst/>
                  <a:latin typeface="Arial" panose="020B0604020202020204" pitchFamily="34" charset="0"/>
                  <a:ea typeface="+mn-ea"/>
                  <a:cs typeface="Arial" panose="020B0604020202020204" pitchFamily="34" charset="0"/>
                </a:rPr>
                <a:t>The leakage level only due to natural rise in leakage, at the beginning of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or at the end of the (j-1)</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is = r × (j-1) × ΔT</a:t>
              </a:r>
            </a:p>
            <a:p>
              <a:pPr algn="l"/>
              <a:r>
                <a:rPr lang="en-US" sz="1100">
                  <a:solidFill>
                    <a:schemeClr val="tx1"/>
                  </a:solidFill>
                  <a:effectLst/>
                  <a:latin typeface="Arial" panose="020B0604020202020204" pitchFamily="34" charset="0"/>
                  <a:ea typeface="+mn-ea"/>
                  <a:cs typeface="Arial" panose="020B0604020202020204" pitchFamily="34" charset="0"/>
                </a:rPr>
                <a:t>The leakage level at the end of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is = r × j × ΔT.</a:t>
              </a: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The leakage volume lost during this time step is represented by the transition from the lower leakage level to the higher leakage level across time step ΔT, which is the area under the curve, which is a trapezoid, summed for all the parts of the system. Each part of the system will contribute to the overall leakage in this component as follows:</a:t>
              </a:r>
            </a:p>
            <a:p>
              <a:pPr algn="l"/>
              <a:r>
                <a:rPr lang="en-US" sz="1100" i="0">
                  <a:solidFill>
                    <a:schemeClr val="tx1"/>
                  </a:solidFill>
                  <a:effectLst/>
                  <a:latin typeface="+mn-lt"/>
                  <a:ea typeface="+mn-ea"/>
                  <a:cs typeface="+mn-cs"/>
                </a:rPr>
                <a:t>𝑃𝑎𝑟𝑡 1:1/2×(</a:t>
              </a:r>
              <a:r>
                <a:rPr lang="en-US" sz="1100" b="1" i="0">
                  <a:solidFill>
                    <a:schemeClr val="tx1"/>
                  </a:solidFill>
                  <a:effectLst/>
                  <a:latin typeface="+mn-lt"/>
                  <a:ea typeface="+mn-ea"/>
                  <a:cs typeface="+mn-cs"/>
                </a:rPr>
                <a:t>𝟎</a:t>
              </a:r>
              <a:r>
                <a:rPr lang="en-US" sz="1100" i="0">
                  <a:solidFill>
                    <a:schemeClr val="tx1"/>
                  </a:solidFill>
                  <a:effectLst/>
                  <a:latin typeface="+mn-lt"/>
                  <a:ea typeface="+mn-ea"/>
                  <a:cs typeface="+mn-cs"/>
                </a:rPr>
                <a:t>+𝑟×</a:t>
              </a:r>
              <a:r>
                <a:rPr lang="en-US" sz="1100" b="1" i="0">
                  <a:solidFill>
                    <a:schemeClr val="tx1"/>
                  </a:solidFill>
                  <a:effectLst/>
                  <a:latin typeface="+mn-lt"/>
                  <a:ea typeface="+mn-ea"/>
                  <a:cs typeface="+mn-cs"/>
                </a:rPr>
                <a:t>𝟏</a:t>
              </a:r>
              <a:r>
                <a:rPr lang="en-US" sz="1100" i="0">
                  <a:solidFill>
                    <a:schemeClr val="tx1"/>
                  </a:solidFill>
                  <a:effectLst/>
                  <a:latin typeface="+mn-lt"/>
                  <a:ea typeface="+mn-ea"/>
                  <a:cs typeface="+mn-cs"/>
                </a:rPr>
                <a:t>×∆𝑇)</a:t>
              </a:r>
              <a:r>
                <a:rPr lang="en-US" sz="1100">
                  <a:solidFill>
                    <a:schemeClr val="tx1"/>
                  </a:solidFill>
                  <a:effectLst/>
                  <a:latin typeface="Arial" panose="020B0604020202020204" pitchFamily="34" charset="0"/>
                  <a:ea typeface="+mn-ea"/>
                  <a:cs typeface="Arial" panose="020B0604020202020204" pitchFamily="34" charset="0"/>
                </a:rPr>
                <a:t>; </a:t>
              </a:r>
              <a:r>
                <a:rPr lang="en-US" sz="1100" i="0">
                  <a:solidFill>
                    <a:schemeClr val="tx1"/>
                  </a:solidFill>
                  <a:effectLst/>
                  <a:latin typeface="+mn-lt"/>
                  <a:ea typeface="+mn-ea"/>
                  <a:cs typeface="+mn-cs"/>
                </a:rPr>
                <a:t>𝑃𝑎𝑟𝑡 2:  1/2×(𝑟×</a:t>
              </a:r>
              <a:r>
                <a:rPr lang="en-US" sz="1100" b="1" i="0">
                  <a:solidFill>
                    <a:schemeClr val="tx1"/>
                  </a:solidFill>
                  <a:effectLst/>
                  <a:latin typeface="+mn-lt"/>
                  <a:ea typeface="+mn-ea"/>
                  <a:cs typeface="+mn-cs"/>
                </a:rPr>
                <a:t>𝟏</a:t>
              </a:r>
              <a:r>
                <a:rPr lang="en-US" sz="1100" i="0">
                  <a:solidFill>
                    <a:schemeClr val="tx1"/>
                  </a:solidFill>
                  <a:effectLst/>
                  <a:latin typeface="+mn-lt"/>
                  <a:ea typeface="+mn-ea"/>
                  <a:cs typeface="+mn-cs"/>
                </a:rPr>
                <a:t>×∆𝑇+𝑟×</a:t>
              </a:r>
              <a:r>
                <a:rPr lang="en-US" sz="1100" b="1" i="0">
                  <a:solidFill>
                    <a:schemeClr val="tx1"/>
                  </a:solidFill>
                  <a:effectLst/>
                  <a:latin typeface="+mn-lt"/>
                  <a:ea typeface="+mn-ea"/>
                  <a:cs typeface="+mn-cs"/>
                </a:rPr>
                <a:t>𝟐</a:t>
              </a:r>
              <a:r>
                <a:rPr lang="en-US" sz="1100" i="0">
                  <a:solidFill>
                    <a:schemeClr val="tx1"/>
                  </a:solidFill>
                  <a:effectLst/>
                  <a:latin typeface="+mn-lt"/>
                  <a:ea typeface="+mn-ea"/>
                  <a:cs typeface="+mn-cs"/>
                </a:rPr>
                <a:t>×∆𝑇)×∆𝑇</a:t>
              </a:r>
              <a:r>
                <a:rPr lang="en-US" sz="1100">
                  <a:solidFill>
                    <a:schemeClr val="tx1"/>
                  </a:solidFill>
                  <a:effectLst/>
                  <a:latin typeface="Arial" panose="020B0604020202020204" pitchFamily="34" charset="0"/>
                  <a:ea typeface="+mn-ea"/>
                  <a:cs typeface="Arial" panose="020B0604020202020204" pitchFamily="34" charset="0"/>
                </a:rPr>
                <a:t>; </a:t>
              </a:r>
              <a:r>
                <a:rPr lang="en-US" sz="1100" i="0">
                  <a:solidFill>
                    <a:schemeClr val="tx1"/>
                  </a:solidFill>
                  <a:effectLst/>
                  <a:latin typeface="+mn-lt"/>
                  <a:ea typeface="+mn-ea"/>
                  <a:cs typeface="+mn-cs"/>
                </a:rPr>
                <a:t>𝑃𝑎𝑟𝑡 3:  1/2×(𝑟×</a:t>
              </a:r>
              <a:r>
                <a:rPr lang="en-US" sz="1100" b="1" i="0">
                  <a:solidFill>
                    <a:schemeClr val="tx1"/>
                  </a:solidFill>
                  <a:effectLst/>
                  <a:latin typeface="+mn-lt"/>
                  <a:ea typeface="+mn-ea"/>
                  <a:cs typeface="+mn-cs"/>
                </a:rPr>
                <a:t>𝟐</a:t>
              </a:r>
              <a:r>
                <a:rPr lang="en-US" sz="1100" i="0">
                  <a:solidFill>
                    <a:schemeClr val="tx1"/>
                  </a:solidFill>
                  <a:effectLst/>
                  <a:latin typeface="+mn-lt"/>
                  <a:ea typeface="+mn-ea"/>
                  <a:cs typeface="+mn-cs"/>
                </a:rPr>
                <a:t>×∆𝑇+𝑟×</a:t>
              </a:r>
              <a:r>
                <a:rPr lang="en-US" sz="1100" b="1" i="0">
                  <a:solidFill>
                    <a:schemeClr val="tx1"/>
                  </a:solidFill>
                  <a:effectLst/>
                  <a:latin typeface="+mn-lt"/>
                  <a:ea typeface="+mn-ea"/>
                  <a:cs typeface="+mn-cs"/>
                </a:rPr>
                <a:t>𝟑</a:t>
              </a:r>
              <a:r>
                <a:rPr lang="en-US" sz="1100" i="0">
                  <a:solidFill>
                    <a:schemeClr val="tx1"/>
                  </a:solidFill>
                  <a:effectLst/>
                  <a:latin typeface="+mn-lt"/>
                  <a:ea typeface="+mn-ea"/>
                  <a:cs typeface="+mn-cs"/>
                </a:rPr>
                <a:t>×∆𝑇)</a:t>
              </a:r>
              <a:r>
                <a:rPr lang="en-US" sz="1100">
                  <a:solidFill>
                    <a:schemeClr val="tx1"/>
                  </a:solidFill>
                  <a:effectLst/>
                  <a:latin typeface="Arial" panose="020B0604020202020204" pitchFamily="34" charset="0"/>
                  <a:ea typeface="+mn-ea"/>
                  <a:cs typeface="Arial" panose="020B0604020202020204" pitchFamily="34" charset="0"/>
                </a:rPr>
                <a:t>…; </a:t>
              </a:r>
              <a:r>
                <a:rPr lang="en-US" sz="1100" i="0">
                  <a:solidFill>
                    <a:schemeClr val="tx1"/>
                  </a:solidFill>
                  <a:effectLst/>
                  <a:latin typeface="+mn-lt"/>
                  <a:ea typeface="+mn-ea"/>
                  <a:cs typeface="+mn-cs"/>
                </a:rPr>
                <a:t>𝑃𝑎𝑟𝑡 𝑖:  1/2×(𝑟×</a:t>
              </a:r>
              <a:r>
                <a:rPr lang="en-US" sz="1100" b="1" i="0">
                  <a:solidFill>
                    <a:schemeClr val="tx1"/>
                  </a:solidFill>
                  <a:effectLst/>
                  <a:latin typeface="+mn-lt"/>
                  <a:ea typeface="+mn-ea"/>
                  <a:cs typeface="+mn-cs"/>
                </a:rPr>
                <a:t>(𝒋−𝟏)</a:t>
              </a:r>
              <a:r>
                <a:rPr lang="en-US" sz="1100" i="0">
                  <a:solidFill>
                    <a:schemeClr val="tx1"/>
                  </a:solidFill>
                  <a:effectLst/>
                  <a:latin typeface="+mn-lt"/>
                  <a:ea typeface="+mn-ea"/>
                  <a:cs typeface="+mn-cs"/>
                </a:rPr>
                <a:t>×∆𝑇+𝑟×</a:t>
              </a:r>
              <a:r>
                <a:rPr lang="en-US" sz="1100" b="1" i="0">
                  <a:solidFill>
                    <a:schemeClr val="tx1"/>
                  </a:solidFill>
                  <a:effectLst/>
                  <a:latin typeface="+mn-lt"/>
                  <a:ea typeface="+mn-ea"/>
                  <a:cs typeface="+mn-cs"/>
                </a:rPr>
                <a:t>𝒋</a:t>
              </a:r>
              <a:r>
                <a:rPr lang="en-US" sz="1100" i="0">
                  <a:solidFill>
                    <a:schemeClr val="tx1"/>
                  </a:solidFill>
                  <a:effectLst/>
                  <a:latin typeface="+mn-lt"/>
                  <a:ea typeface="+mn-ea"/>
                  <a:cs typeface="+mn-cs"/>
                </a:rPr>
                <a:t>×∆𝑇)</a:t>
              </a:r>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Simplifying the leakage volume lost during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for a single part as follows:</a:t>
              </a:r>
            </a:p>
            <a:p>
              <a:pPr algn="l"/>
              <a:r>
                <a:rPr lang="en-US" sz="1100" i="0">
                  <a:solidFill>
                    <a:schemeClr val="tx1"/>
                  </a:solidFill>
                  <a:effectLst/>
                  <a:latin typeface="+mn-lt"/>
                  <a:ea typeface="+mn-ea"/>
                  <a:cs typeface="+mn-cs"/>
                </a:rPr>
                <a:t>=1/2×(𝑟×</a:t>
              </a:r>
              <a:r>
                <a:rPr lang="en-US" sz="1100" b="1" i="0">
                  <a:solidFill>
                    <a:schemeClr val="tx1"/>
                  </a:solidFill>
                  <a:effectLst/>
                  <a:latin typeface="+mn-lt"/>
                  <a:ea typeface="+mn-ea"/>
                  <a:cs typeface="+mn-cs"/>
                </a:rPr>
                <a:t>(𝒋−𝟏)</a:t>
              </a:r>
              <a:r>
                <a:rPr lang="en-US" sz="1100" i="0">
                  <a:solidFill>
                    <a:schemeClr val="tx1"/>
                  </a:solidFill>
                  <a:effectLst/>
                  <a:latin typeface="+mn-lt"/>
                  <a:ea typeface="+mn-ea"/>
                  <a:cs typeface="+mn-cs"/>
                </a:rPr>
                <a:t>×∆𝑇+𝑟×</a:t>
              </a:r>
              <a:r>
                <a:rPr lang="en-US" sz="1100" b="1" i="0">
                  <a:solidFill>
                    <a:schemeClr val="tx1"/>
                  </a:solidFill>
                  <a:effectLst/>
                  <a:latin typeface="+mn-lt"/>
                  <a:ea typeface="+mn-ea"/>
                  <a:cs typeface="+mn-cs"/>
                </a:rPr>
                <a:t>𝒋</a:t>
              </a:r>
              <a:r>
                <a:rPr lang="en-US" sz="1100" i="0">
                  <a:solidFill>
                    <a:schemeClr val="tx1"/>
                  </a:solidFill>
                  <a:effectLst/>
                  <a:latin typeface="+mn-lt"/>
                  <a:ea typeface="+mn-ea"/>
                  <a:cs typeface="+mn-cs"/>
                </a:rPr>
                <a:t>×∆𝑇)</a:t>
              </a:r>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i="0">
                  <a:solidFill>
                    <a:schemeClr val="tx1"/>
                  </a:solidFill>
                  <a:effectLst/>
                  <a:latin typeface="+mn-lt"/>
                  <a:ea typeface="+mn-ea"/>
                  <a:cs typeface="+mn-cs"/>
                </a:rPr>
                <a:t>=1/2×(𝑟×𝑗×∆𝑇−𝑟×∆𝑇+𝑟×𝑗×∆𝑇)</a:t>
              </a:r>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i="0">
                  <a:solidFill>
                    <a:schemeClr val="tx1"/>
                  </a:solidFill>
                  <a:effectLst/>
                  <a:latin typeface="+mn-lt"/>
                  <a:ea typeface="+mn-ea"/>
                  <a:cs typeface="+mn-cs"/>
                </a:rPr>
                <a:t>=1/2×(2×𝑟×𝑗×∆𝑇−𝑟×∆𝑇)×∆𝑇</a:t>
              </a:r>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i="0">
                  <a:solidFill>
                    <a:schemeClr val="tx1"/>
                  </a:solidFill>
                  <a:effectLst/>
                  <a:latin typeface="+mn-lt"/>
                  <a:ea typeface="+mn-ea"/>
                  <a:cs typeface="+mn-cs"/>
                </a:rPr>
                <a:t>=(𝑟×𝑗×∆𝑇−1/2×𝑟×∆𝑇)×∆𝑇</a:t>
              </a:r>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i="0">
                  <a:solidFill>
                    <a:schemeClr val="tx1"/>
                  </a:solidFill>
                  <a:effectLst/>
                  <a:latin typeface="+mn-lt"/>
                  <a:ea typeface="+mn-ea"/>
                  <a:cs typeface="+mn-cs"/>
                </a:rPr>
                <a:t>=𝑟×〖∆𝑇〗^2×(𝑗−1/2)</a:t>
              </a:r>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If the distribution system is being surveyed for the first time, only ‘(j-1)’ parts have been surveyed when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begins, and will contribute to this element of leakage:</a:t>
              </a:r>
            </a:p>
            <a:p>
              <a:pPr algn="l"/>
              <a:r>
                <a:rPr lang="en-US" sz="1100" i="0">
                  <a:solidFill>
                    <a:schemeClr val="tx1"/>
                  </a:solidFill>
                  <a:effectLst/>
                  <a:latin typeface="+mn-lt"/>
                  <a:ea typeface="+mn-ea"/>
                  <a:cs typeface="+mn-cs"/>
                </a:rPr>
                <a:t>=𝑟×〖∆𝑇〗^2×∑1_(𝑗=1)^(𝑖−1)▒(𝑗−1/2) </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The summation of an integer is represented by: </a:t>
              </a:r>
            </a:p>
            <a:p>
              <a:pPr algn="l"/>
              <a:r>
                <a:rPr lang="en-US" sz="1100" i="0">
                  <a:solidFill>
                    <a:schemeClr val="tx1"/>
                  </a:solidFill>
                  <a:effectLst/>
                  <a:latin typeface="+mn-lt"/>
                  <a:ea typeface="+mn-ea"/>
                  <a:cs typeface="+mn-cs"/>
                </a:rPr>
                <a:t>∑1_(𝑥=1)^𝑛▒〖𝑥= 〗  (𝑛×(𝑛+1))/2</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The summation of a constant is represented by:</a:t>
              </a:r>
            </a:p>
            <a:p>
              <a:pPr algn="l"/>
              <a:r>
                <a:rPr lang="en-US" sz="1100" i="0">
                  <a:solidFill>
                    <a:schemeClr val="tx1"/>
                  </a:solidFill>
                  <a:effectLst/>
                  <a:latin typeface="+mn-lt"/>
                  <a:ea typeface="+mn-ea"/>
                  <a:cs typeface="+mn-cs"/>
                </a:rPr>
                <a:t>∑1_(𝑥=1)^𝑛▒〖𝑐= 〗 𝑛×𝑐</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Thus,</a:t>
              </a:r>
            </a:p>
            <a:p>
              <a:pPr algn="l"/>
              <a:r>
                <a:rPr lang="en-US" sz="1100" i="0">
                  <a:solidFill>
                    <a:schemeClr val="tx1"/>
                  </a:solidFill>
                  <a:effectLst/>
                  <a:latin typeface="+mn-lt"/>
                  <a:ea typeface="+mn-ea"/>
                  <a:cs typeface="+mn-cs"/>
                </a:rPr>
                <a:t>=∑1_(𝑗=1)^(𝑖−1)▒〖1/2×𝑟×〖∆𝑇〗^2×(𝑗−1/2) 〗</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i="0">
                  <a:solidFill>
                    <a:schemeClr val="tx1"/>
                  </a:solidFill>
                  <a:effectLst/>
                  <a:latin typeface="+mn-lt"/>
                  <a:ea typeface="+mn-ea"/>
                  <a:cs typeface="+mn-cs"/>
                </a:rPr>
                <a:t>=  1/2×𝑟×〖∆𝑇〗^2×((</a:t>
              </a:r>
              <a:r>
                <a:rPr lang="en-US" sz="1100" b="1" i="0">
                  <a:solidFill>
                    <a:schemeClr val="tx1"/>
                  </a:solidFill>
                  <a:effectLst/>
                  <a:latin typeface="+mn-lt"/>
                  <a:ea typeface="+mn-ea"/>
                  <a:cs typeface="+mn-cs"/>
                </a:rPr>
                <a:t>(𝒊−𝟏)</a:t>
              </a:r>
              <a:r>
                <a:rPr lang="en-US" sz="1100" i="0">
                  <a:solidFill>
                    <a:schemeClr val="tx1"/>
                  </a:solidFill>
                  <a:effectLst/>
                  <a:latin typeface="+mn-lt"/>
                  <a:ea typeface="+mn-ea"/>
                  <a:cs typeface="+mn-cs"/>
                </a:rPr>
                <a:t>×(</a:t>
              </a:r>
              <a:r>
                <a:rPr lang="en-US" sz="1100" b="1" i="0">
                  <a:solidFill>
                    <a:schemeClr val="tx1"/>
                  </a:solidFill>
                  <a:effectLst/>
                  <a:latin typeface="+mn-lt"/>
                  <a:ea typeface="+mn-ea"/>
                  <a:cs typeface="+mn-cs"/>
                </a:rPr>
                <a:t>(𝒊−𝟏)</a:t>
              </a:r>
              <a:r>
                <a:rPr lang="en-US" sz="1100" i="0">
                  <a:solidFill>
                    <a:schemeClr val="tx1"/>
                  </a:solidFill>
                  <a:effectLst/>
                  <a:latin typeface="+mn-lt"/>
                  <a:ea typeface="+mn-ea"/>
                  <a:cs typeface="+mn-cs"/>
                </a:rPr>
                <a:t>+1))/2−(</a:t>
              </a:r>
              <a:r>
                <a:rPr lang="en-US" sz="1100" b="1" i="0">
                  <a:solidFill>
                    <a:schemeClr val="tx1"/>
                  </a:solidFill>
                  <a:effectLst/>
                  <a:latin typeface="+mn-lt"/>
                  <a:ea typeface="+mn-ea"/>
                  <a:cs typeface="+mn-cs"/>
                </a:rPr>
                <a:t>(𝒊−𝟏))/</a:t>
              </a:r>
              <a:r>
                <a:rPr lang="en-US" sz="1100" i="0">
                  <a:solidFill>
                    <a:schemeClr val="tx1"/>
                  </a:solidFill>
                  <a:effectLst/>
                  <a:latin typeface="+mn-lt"/>
                  <a:ea typeface="+mn-ea"/>
                  <a:cs typeface="+mn-cs"/>
                </a:rPr>
                <a:t>2)</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i="0">
                  <a:solidFill>
                    <a:schemeClr val="tx1"/>
                  </a:solidFill>
                  <a:effectLst/>
                  <a:latin typeface="+mn-lt"/>
                  <a:ea typeface="+mn-ea"/>
                  <a:cs typeface="+mn-cs"/>
                </a:rPr>
                <a:t>=  1/2×𝑟×〖∆𝑇〗^2×((</a:t>
              </a:r>
              <a:r>
                <a:rPr lang="en-US" sz="1100" b="1" i="0">
                  <a:solidFill>
                    <a:schemeClr val="tx1"/>
                  </a:solidFill>
                  <a:effectLst/>
                  <a:latin typeface="+mn-lt"/>
                  <a:ea typeface="+mn-ea"/>
                  <a:cs typeface="+mn-cs"/>
                </a:rPr>
                <a:t>(𝒊−𝟏)</a:t>
              </a:r>
              <a:r>
                <a:rPr lang="en-US" sz="1100" i="0">
                  <a:solidFill>
                    <a:schemeClr val="tx1"/>
                  </a:solidFill>
                  <a:effectLst/>
                  <a:latin typeface="+mn-lt"/>
                  <a:ea typeface="+mn-ea"/>
                  <a:cs typeface="+mn-cs"/>
                </a:rPr>
                <a:t>×(𝑖))/2−(</a:t>
              </a:r>
              <a:r>
                <a:rPr lang="en-US" sz="1100" b="1" i="0">
                  <a:solidFill>
                    <a:schemeClr val="tx1"/>
                  </a:solidFill>
                  <a:effectLst/>
                  <a:latin typeface="+mn-lt"/>
                  <a:ea typeface="+mn-ea"/>
                  <a:cs typeface="+mn-cs"/>
                </a:rPr>
                <a:t>(𝒊−𝟏))/</a:t>
              </a:r>
              <a:r>
                <a:rPr lang="en-US" sz="1100" i="0">
                  <a:solidFill>
                    <a:schemeClr val="tx1"/>
                  </a:solidFill>
                  <a:effectLst/>
                  <a:latin typeface="+mn-lt"/>
                  <a:ea typeface="+mn-ea"/>
                  <a:cs typeface="+mn-cs"/>
                </a:rPr>
                <a:t>2)</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i="0">
                  <a:solidFill>
                    <a:schemeClr val="tx1"/>
                  </a:solidFill>
                  <a:effectLst/>
                  <a:latin typeface="+mn-lt"/>
                  <a:ea typeface="+mn-ea"/>
                  <a:cs typeface="+mn-cs"/>
                </a:rPr>
                <a:t>=  1/2×𝑟×〖∆𝑇〗^2×((𝑖^2−2×𝑖+1)/2)</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i="0">
                  <a:solidFill>
                    <a:schemeClr val="tx1"/>
                  </a:solidFill>
                  <a:effectLst/>
                  <a:latin typeface="+mn-lt"/>
                  <a:ea typeface="+mn-ea"/>
                  <a:cs typeface="+mn-cs"/>
                </a:rPr>
                <a:t>=  1/2×𝑟×〖∆𝑇〗^2×((𝑖−1)^2/2)</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If the system has undergone a complete survey and this is the next round of surveying, ‘N’ parts have been surveyed before, and all will contribute to this element of leakage. After one survey, and the backlog of leakage is reduced, this element of leakage is the only one that constitutes the overall leakage for the distribution system:</a:t>
              </a:r>
            </a:p>
            <a:p>
              <a:pPr algn="l"/>
              <a:r>
                <a:rPr lang="en-US" sz="1100" i="0">
                  <a:solidFill>
                    <a:schemeClr val="tx1"/>
                  </a:solidFill>
                  <a:effectLst/>
                  <a:latin typeface="+mn-lt"/>
                  <a:ea typeface="+mn-ea"/>
                  <a:cs typeface="+mn-cs"/>
                </a:rPr>
                <a:t>=1/2×𝑟×〖∆𝑇〗^2×𝑁^2</a:t>
              </a:r>
              <a:endParaRPr lang="en-US" sz="1100">
                <a:solidFill>
                  <a:schemeClr val="tx1"/>
                </a:solidFill>
                <a:effectLst/>
                <a:latin typeface="Arial" panose="020B0604020202020204" pitchFamily="34" charset="0"/>
                <a:ea typeface="+mn-ea"/>
                <a:cs typeface="Arial" panose="020B0604020202020204" pitchFamily="34" charset="0"/>
              </a:endParaRPr>
            </a:p>
          </xdr:txBody>
        </xdr:sp>
      </mc:Fallback>
    </mc:AlternateContent>
    <xdr:clientData/>
  </xdr:oneCellAnchor>
  <xdr:oneCellAnchor>
    <xdr:from>
      <xdr:col>0</xdr:col>
      <xdr:colOff>104775</xdr:colOff>
      <xdr:row>195</xdr:row>
      <xdr:rowOff>0</xdr:rowOff>
    </xdr:from>
    <xdr:ext cx="11401425" cy="579005"/>
    <xdr:sp macro="" textlink="">
      <xdr:nvSpPr>
        <xdr:cNvPr id="83" name="TextBox 82">
          <a:extLst>
            <a:ext uri="{FF2B5EF4-FFF2-40B4-BE49-F238E27FC236}">
              <a16:creationId xmlns:a16="http://schemas.microsoft.com/office/drawing/2014/main" id="{6D53920D-0E77-4647-8C8C-A8BDB1FBC11E}"/>
            </a:ext>
          </a:extLst>
        </xdr:cNvPr>
        <xdr:cNvSpPr txBox="1"/>
      </xdr:nvSpPr>
      <xdr:spPr>
        <a:xfrm>
          <a:off x="104775" y="53149500"/>
          <a:ext cx="11401425" cy="579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u="sng">
              <a:solidFill>
                <a:schemeClr val="tx1"/>
              </a:solidFill>
              <a:effectLst/>
              <a:latin typeface="Arial" panose="020B0604020202020204" pitchFamily="34" charset="0"/>
              <a:ea typeface="+mn-ea"/>
              <a:cs typeface="Arial" panose="020B0604020202020204" pitchFamily="34" charset="0"/>
            </a:rPr>
            <a:t>Water loss occurring without intervention:</a:t>
          </a:r>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Without any intervention, the real loss for the system increases from the initial real loss (three-year average of real loss reported by supplier) increases with time at the natural rate of rise of leakage.</a:t>
          </a:r>
        </a:p>
      </xdr:txBody>
    </xdr:sp>
    <xdr:clientData/>
  </xdr:oneCellAnchor>
  <xdr:oneCellAnchor>
    <xdr:from>
      <xdr:col>0</xdr:col>
      <xdr:colOff>76200</xdr:colOff>
      <xdr:row>217</xdr:row>
      <xdr:rowOff>95250</xdr:rowOff>
    </xdr:from>
    <xdr:ext cx="11401425" cy="582147"/>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8479CCA5-E7A1-486A-96A1-58AA615302FB}"/>
                </a:ext>
              </a:extLst>
            </xdr:cNvPr>
            <xdr:cNvSpPr txBox="1"/>
          </xdr:nvSpPr>
          <xdr:spPr>
            <a:xfrm>
              <a:off x="76200" y="49768125"/>
              <a:ext cx="11401425" cy="582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Arial" panose="020B0604020202020204" pitchFamily="34" charset="0"/>
                  <a:ea typeface="+mn-ea"/>
                  <a:cs typeface="Arial" panose="020B0604020202020204" pitchFamily="34" charset="0"/>
                </a:rPr>
                <a:t>Without any intervention, it is assumed that suppliers would maintain the current or baseline real loss for the system (three-year average of real loss reported by supplier). Leakage without intervention for each part would be:</a:t>
              </a:r>
            </a:p>
            <a:p>
              <a14:m>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𝑙</m:t>
                      </m:r>
                    </m:e>
                    <m:sub>
                      <m:r>
                        <a:rPr lang="en-US" sz="1100" i="1">
                          <a:solidFill>
                            <a:schemeClr val="tx1"/>
                          </a:solidFill>
                          <a:effectLst/>
                          <a:latin typeface="Cambria Math" panose="02040503050406030204" pitchFamily="18" charset="0"/>
                          <a:ea typeface="+mn-ea"/>
                          <a:cs typeface="+mn-cs"/>
                        </a:rPr>
                        <m:t>𝑜</m:t>
                      </m:r>
                    </m:sub>
                  </m:sSub>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oMath>
              </a14:m>
              <a:r>
                <a:rPr lang="en-US" sz="1100">
                  <a:solidFill>
                    <a:schemeClr val="tx1"/>
                  </a:solidFill>
                  <a:effectLst/>
                  <a:latin typeface="Arial" panose="020B0604020202020204" pitchFamily="34" charset="0"/>
                  <a:ea typeface="+mn-ea"/>
                  <a:cs typeface="Arial" panose="020B0604020202020204" pitchFamily="34" charset="0"/>
                </a:rPr>
                <a:t> </a:t>
              </a:r>
            </a:p>
          </xdr:txBody>
        </xdr:sp>
      </mc:Choice>
      <mc:Fallback xmlns="">
        <xdr:sp macro="" textlink="">
          <xdr:nvSpPr>
            <xdr:cNvPr id="85" name="TextBox 84">
              <a:extLst>
                <a:ext uri="{FF2B5EF4-FFF2-40B4-BE49-F238E27FC236}">
                  <a16:creationId xmlns:a16="http://schemas.microsoft.com/office/drawing/2014/main" id="{8479CCA5-E7A1-486A-96A1-58AA615302FB}"/>
                </a:ext>
              </a:extLst>
            </xdr:cNvPr>
            <xdr:cNvSpPr txBox="1"/>
          </xdr:nvSpPr>
          <xdr:spPr>
            <a:xfrm>
              <a:off x="76200" y="49768125"/>
              <a:ext cx="11401425" cy="582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Arial" panose="020B0604020202020204" pitchFamily="34" charset="0"/>
                  <a:ea typeface="+mn-ea"/>
                  <a:cs typeface="Arial" panose="020B0604020202020204" pitchFamily="34" charset="0"/>
                </a:rPr>
                <a:t>Without any intervention, it is assumed that suppliers would maintain the current or baseline real loss for the system (three-year average of real loss reported by supplier). Leakage without intervention for each part would be:</a:t>
              </a:r>
            </a:p>
            <a:p>
              <a:r>
                <a:rPr lang="en-US" sz="1100" i="0">
                  <a:solidFill>
                    <a:schemeClr val="tx1"/>
                  </a:solidFill>
                  <a:effectLst/>
                  <a:latin typeface="+mn-lt"/>
                  <a:ea typeface="+mn-ea"/>
                  <a:cs typeface="+mn-cs"/>
                </a:rPr>
                <a:t>=𝑙_𝑜×∆𝑇</a:t>
              </a:r>
              <a:r>
                <a:rPr lang="en-US" sz="1100">
                  <a:solidFill>
                    <a:schemeClr val="tx1"/>
                  </a:solidFill>
                  <a:effectLst/>
                  <a:latin typeface="Arial" panose="020B0604020202020204" pitchFamily="34" charset="0"/>
                  <a:ea typeface="+mn-ea"/>
                  <a:cs typeface="Arial" panose="020B0604020202020204" pitchFamily="34" charset="0"/>
                </a:rPr>
                <a:t> </a:t>
              </a:r>
            </a:p>
          </xdr:txBody>
        </xdr:sp>
      </mc:Fallback>
    </mc:AlternateContent>
    <xdr:clientData/>
  </xdr:oneCellAnchor>
  <xdr:oneCellAnchor>
    <xdr:from>
      <xdr:col>1</xdr:col>
      <xdr:colOff>152400</xdr:colOff>
      <xdr:row>24</xdr:row>
      <xdr:rowOff>133350</xdr:rowOff>
    </xdr:from>
    <xdr:ext cx="5398914" cy="351506"/>
    <mc:AlternateContent xmlns:mc="http://schemas.openxmlformats.org/markup-compatibility/2006" xmlns:a14="http://schemas.microsoft.com/office/drawing/2010/main">
      <mc:Choice Requires="a14">
        <xdr:sp macro="" textlink="">
          <xdr:nvSpPr>
            <xdr:cNvPr id="92" name="TextBox 91">
              <a:extLst>
                <a:ext uri="{FF2B5EF4-FFF2-40B4-BE49-F238E27FC236}">
                  <a16:creationId xmlns:a16="http://schemas.microsoft.com/office/drawing/2014/main" id="{B4336462-16FE-431B-9142-9F2CA57A34B3}"/>
                </a:ext>
              </a:extLst>
            </xdr:cNvPr>
            <xdr:cNvSpPr txBox="1"/>
          </xdr:nvSpPr>
          <xdr:spPr>
            <a:xfrm>
              <a:off x="2781300" y="15049500"/>
              <a:ext cx="5398914"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f>
                      <m:fPr>
                        <m:ctrlPr>
                          <a:rPr lang="en-US" sz="1100" b="0" i="1">
                            <a:latin typeface="Cambria Math" panose="02040503050406030204" pitchFamily="18" charset="0"/>
                          </a:rPr>
                        </m:ctrlPr>
                      </m:fPr>
                      <m:num>
                        <m:r>
                          <m:rPr>
                            <m:sty m:val="p"/>
                          </m:rPr>
                          <a:rPr lang="en-US" sz="1100" b="0" i="0">
                            <a:solidFill>
                              <a:schemeClr val="tx1"/>
                            </a:solidFill>
                            <a:effectLst/>
                            <a:latin typeface="Cambria Math" panose="02040503050406030204" pitchFamily="18" charset="0"/>
                            <a:ea typeface="+mn-ea"/>
                            <a:cs typeface="+mn-cs"/>
                          </a:rPr>
                          <m:t>Net</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benefit</m:t>
                        </m:r>
                      </m:num>
                      <m:den>
                        <m:d>
                          <m:dPr>
                            <m:ctrlPr>
                              <a:rPr lang="en-US" sz="1100" b="0" i="1">
                                <a:solidFill>
                                  <a:schemeClr val="tx1"/>
                                </a:solidFill>
                                <a:effectLst/>
                                <a:latin typeface="Cambria Math" panose="02040503050406030204" pitchFamily="18" charset="0"/>
                                <a:ea typeface="+mn-ea"/>
                                <a:cs typeface="+mn-cs"/>
                              </a:rPr>
                            </m:ctrlPr>
                          </m:dPr>
                          <m:e>
                            <m:r>
                              <a:rPr lang="en-US" sz="1100" b="0" i="0">
                                <a:solidFill>
                                  <a:schemeClr val="tx1"/>
                                </a:solidFill>
                                <a:effectLst/>
                                <a:latin typeface="Cambria Math" panose="02040503050406030204" pitchFamily="18" charset="0"/>
                                <a:ea typeface="+mn-ea"/>
                                <a:cs typeface="+mn-cs"/>
                              </a:rPr>
                              <m:t>1+</m:t>
                            </m:r>
                            <m:r>
                              <m:rPr>
                                <m:sty m:val="p"/>
                              </m:rPr>
                              <a:rPr lang="en-US" sz="1100" b="0" i="0">
                                <a:solidFill>
                                  <a:schemeClr val="tx1"/>
                                </a:solidFill>
                                <a:effectLst/>
                                <a:latin typeface="Cambria Math" panose="02040503050406030204" pitchFamily="18" charset="0"/>
                                <a:ea typeface="+mn-ea"/>
                                <a:cs typeface="+mn-cs"/>
                              </a:rPr>
                              <m:t>Average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annual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rise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price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water</m:t>
                            </m:r>
                            <m:r>
                              <a:rPr lang="en-US" sz="1100" b="0" i="0">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r>
                                  <a:rPr lang="en-US" sz="1100" b="0" i="0">
                                    <a:solidFill>
                                      <a:schemeClr val="tx1"/>
                                    </a:solidFill>
                                    <a:effectLst/>
                                    <a:latin typeface="Cambria Math" panose="02040503050406030204" pitchFamily="18" charset="0"/>
                                    <a:ea typeface="+mn-ea"/>
                                    <a:cs typeface="+mn-cs"/>
                                  </a:rPr>
                                  <m:t>−1</m:t>
                                </m:r>
                              </m:e>
                            </m:d>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time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step</m:t>
                            </m:r>
                          </m:e>
                        </m:d>
                      </m:den>
                    </m:f>
                  </m:oMath>
                </m:oMathPara>
              </a14:m>
              <a:endParaRPr lang="en-US" sz="1100" i="0"/>
            </a:p>
          </xdr:txBody>
        </xdr:sp>
      </mc:Choice>
      <mc:Fallback xmlns="">
        <xdr:sp macro="" textlink="">
          <xdr:nvSpPr>
            <xdr:cNvPr id="92" name="TextBox 91">
              <a:extLst>
                <a:ext uri="{FF2B5EF4-FFF2-40B4-BE49-F238E27FC236}">
                  <a16:creationId xmlns:a16="http://schemas.microsoft.com/office/drawing/2014/main" id="{B4336462-16FE-431B-9142-9F2CA57A34B3}"/>
                </a:ext>
              </a:extLst>
            </xdr:cNvPr>
            <xdr:cNvSpPr txBox="1"/>
          </xdr:nvSpPr>
          <xdr:spPr>
            <a:xfrm>
              <a:off x="2781300" y="15049500"/>
              <a:ext cx="5398914"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Net benefit)/((1+Average annual rise in price of water×(month of implementation−1)×time step) )</a:t>
              </a:r>
              <a:endParaRPr lang="en-US" sz="1100" i="0"/>
            </a:p>
          </xdr:txBody>
        </xdr:sp>
      </mc:Fallback>
    </mc:AlternateContent>
    <xdr:clientData/>
  </xdr:oneCellAnchor>
  <xdr:oneCellAnchor>
    <xdr:from>
      <xdr:col>1</xdr:col>
      <xdr:colOff>95250</xdr:colOff>
      <xdr:row>4</xdr:row>
      <xdr:rowOff>581025</xdr:rowOff>
    </xdr:from>
    <xdr:ext cx="8633454" cy="351506"/>
    <mc:AlternateContent xmlns:mc="http://schemas.openxmlformats.org/markup-compatibility/2006" xmlns:a14="http://schemas.microsoft.com/office/drawing/2010/main">
      <mc:Choice Requires="a14">
        <xdr:sp macro="" textlink="">
          <xdr:nvSpPr>
            <xdr:cNvPr id="93" name="TextBox 92">
              <a:extLst>
                <a:ext uri="{FF2B5EF4-FFF2-40B4-BE49-F238E27FC236}">
                  <a16:creationId xmlns:a16="http://schemas.microsoft.com/office/drawing/2014/main" id="{A8E1E2E1-D00B-47B8-90F5-D387491CA303}"/>
                </a:ext>
              </a:extLst>
            </xdr:cNvPr>
            <xdr:cNvSpPr txBox="1"/>
          </xdr:nvSpPr>
          <xdr:spPr>
            <a:xfrm>
              <a:off x="2724150" y="2495550"/>
              <a:ext cx="8633454"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0">
                            <a:latin typeface="Cambria Math" panose="02040503050406030204" pitchFamily="18" charset="0"/>
                          </a:rPr>
                          <m:t>7 </m:t>
                        </m:r>
                        <m:r>
                          <m:rPr>
                            <m:sty m:val="p"/>
                          </m:rPr>
                          <a:rPr lang="en-US" sz="1100" b="0" i="0">
                            <a:latin typeface="Cambria Math" panose="02040503050406030204" pitchFamily="18" charset="0"/>
                          </a:rPr>
                          <m:t>gallons</m:t>
                        </m:r>
                        <m:r>
                          <a:rPr lang="en-US" sz="1100" b="0" i="0">
                            <a:latin typeface="Cambria Math" panose="02040503050406030204" pitchFamily="18" charset="0"/>
                          </a:rPr>
                          <m:t> </m:t>
                        </m:r>
                      </m:num>
                      <m:den>
                        <m:r>
                          <m:rPr>
                            <m:sty m:val="p"/>
                          </m:rPr>
                          <a:rPr lang="en-US" sz="1100" b="0" i="0">
                            <a:latin typeface="Cambria Math" panose="02040503050406030204" pitchFamily="18" charset="0"/>
                          </a:rPr>
                          <m:t>burst</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minute</m:t>
                        </m:r>
                      </m:den>
                    </m:f>
                    <m:r>
                      <a:rPr lang="en-US" sz="1100" b="0" i="0">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0">
                            <a:solidFill>
                              <a:schemeClr val="tx1"/>
                            </a:solidFill>
                            <a:effectLst/>
                            <a:latin typeface="Cambria Math" panose="02040503050406030204" pitchFamily="18" charset="0"/>
                            <a:ea typeface="+mn-ea"/>
                            <a:cs typeface="+mn-cs"/>
                          </a:rPr>
                          <m:t>1 </m:t>
                        </m:r>
                        <m:r>
                          <m:rPr>
                            <m:sty m:val="p"/>
                          </m:rPr>
                          <a:rPr lang="en-US" sz="1100" b="0" i="0">
                            <a:solidFill>
                              <a:schemeClr val="tx1"/>
                            </a:solidFill>
                            <a:effectLst/>
                            <a:latin typeface="Cambria Math" panose="02040503050406030204" pitchFamily="18" charset="0"/>
                            <a:ea typeface="+mn-ea"/>
                            <a:cs typeface="+mn-cs"/>
                          </a:rPr>
                          <m:t>acrefeet</m:t>
                        </m:r>
                      </m:num>
                      <m:den>
                        <m:r>
                          <a:rPr lang="en-US" sz="1100" b="0" i="0">
                            <a:solidFill>
                              <a:schemeClr val="tx1"/>
                            </a:solidFill>
                            <a:effectLst/>
                            <a:latin typeface="Cambria Math" panose="02040503050406030204" pitchFamily="18" charset="0"/>
                            <a:ea typeface="+mn-ea"/>
                            <a:cs typeface="+mn-cs"/>
                          </a:rPr>
                          <m:t>325,851 </m:t>
                        </m:r>
                        <m:r>
                          <m:rPr>
                            <m:sty m:val="p"/>
                          </m:rPr>
                          <a:rPr lang="en-US" sz="1100" b="0" i="0">
                            <a:solidFill>
                              <a:schemeClr val="tx1"/>
                            </a:solidFill>
                            <a:effectLst/>
                            <a:latin typeface="Cambria Math" panose="02040503050406030204" pitchFamily="18" charset="0"/>
                            <a:ea typeface="+mn-ea"/>
                            <a:cs typeface="+mn-cs"/>
                          </a:rPr>
                          <m:t>gallons</m:t>
                        </m:r>
                      </m:den>
                    </m:f>
                    <m:r>
                      <a:rPr lang="en-US" sz="1100" b="0" i="0">
                        <a:solidFill>
                          <a:schemeClr val="tx1"/>
                        </a:solidFill>
                        <a:effectLst/>
                        <a:latin typeface="Cambria Math" panose="02040503050406030204" pitchFamily="18" charset="0"/>
                        <a:ea typeface="Cambria Math" panose="02040503050406030204" pitchFamily="18" charset="0"/>
                        <a:cs typeface="+mn-cs"/>
                      </a:rPr>
                      <m:t>×</m:t>
                    </m:r>
                    <m:f>
                      <m:fPr>
                        <m:ctrlPr>
                          <a:rPr lang="en-US" sz="1100" b="0" i="1">
                            <a:latin typeface="Cambria Math" panose="02040503050406030204" pitchFamily="18" charset="0"/>
                          </a:rPr>
                        </m:ctrlPr>
                      </m:fPr>
                      <m:num>
                        <m:r>
                          <a:rPr lang="en-US" sz="1100" b="0" i="0">
                            <a:latin typeface="Cambria Math" panose="02040503050406030204" pitchFamily="18" charset="0"/>
                          </a:rPr>
                          <m:t>0.75 </m:t>
                        </m:r>
                        <m:r>
                          <m:rPr>
                            <m:sty m:val="p"/>
                          </m:rPr>
                          <a:rPr lang="en-US" sz="1100" b="0" i="0">
                            <a:latin typeface="Cambria Math" panose="02040503050406030204" pitchFamily="18" charset="0"/>
                          </a:rPr>
                          <m:t>leaks</m:t>
                        </m:r>
                      </m:num>
                      <m:den>
                        <m:r>
                          <a:rPr lang="en-US" sz="1100" b="0" i="1">
                            <a:latin typeface="Cambria Math" panose="02040503050406030204" pitchFamily="18" charset="0"/>
                          </a:rPr>
                          <m:t>1000 </m:t>
                        </m:r>
                        <m:r>
                          <m:rPr>
                            <m:sty m:val="p"/>
                          </m:rPr>
                          <a:rPr lang="en-US" sz="1100" b="0" i="0">
                            <a:latin typeface="Cambria Math" panose="02040503050406030204" pitchFamily="18" charset="0"/>
                          </a:rPr>
                          <m:t>service</m:t>
                        </m:r>
                        <m:r>
                          <a:rPr lang="en-US" sz="1100" b="0" i="0">
                            <a:latin typeface="Cambria Math" panose="02040503050406030204" pitchFamily="18" charset="0"/>
                          </a:rPr>
                          <m:t> </m:t>
                        </m:r>
                        <m:r>
                          <m:rPr>
                            <m:sty m:val="p"/>
                          </m:rPr>
                          <a:rPr lang="en-US" sz="1100" b="0" i="0">
                            <a:latin typeface="Cambria Math" panose="02040503050406030204" pitchFamily="18" charset="0"/>
                          </a:rPr>
                          <m:t>connections</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year</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m:rPr>
                            <m:sty m:val="p"/>
                          </m:rPr>
                          <a:rPr lang="en-US" sz="1100" b="0" i="0">
                            <a:solidFill>
                              <a:schemeClr val="tx1"/>
                            </a:solidFill>
                            <a:effectLst/>
                            <a:latin typeface="Cambria Math" panose="02040503050406030204" pitchFamily="18" charset="0"/>
                            <a:ea typeface="+mn-ea"/>
                            <a:cs typeface="+mn-cs"/>
                          </a:rPr>
                          <m:t>Total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number</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service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connections</m:t>
                        </m:r>
                      </m:num>
                      <m:den>
                        <m:r>
                          <a:rPr lang="en-US" sz="1100" b="0" i="1">
                            <a:latin typeface="Cambria Math" panose="02040503050406030204" pitchFamily="18" charset="0"/>
                            <a:ea typeface="Cambria Math" panose="02040503050406030204" pitchFamily="18" charset="0"/>
                          </a:rPr>
                          <m:t>1000</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solidFill>
                              <a:schemeClr val="tx1"/>
                            </a:solidFill>
                            <a:effectLst/>
                            <a:latin typeface="Cambria Math" panose="02040503050406030204" pitchFamily="18" charset="0"/>
                            <a:ea typeface="+mn-ea"/>
                            <a:cs typeface="+mn-cs"/>
                          </a:rPr>
                          <m:t>60 </m:t>
                        </m:r>
                        <m:r>
                          <m:rPr>
                            <m:sty m:val="p"/>
                          </m:rPr>
                          <a:rPr lang="en-US" sz="1100" b="0" i="0">
                            <a:solidFill>
                              <a:schemeClr val="tx1"/>
                            </a:solidFill>
                            <a:effectLst/>
                            <a:latin typeface="Cambria Math" panose="02040503050406030204" pitchFamily="18" charset="0"/>
                            <a:ea typeface="+mn-ea"/>
                            <a:cs typeface="+mn-cs"/>
                          </a:rPr>
                          <m:t>minutes</m:t>
                        </m:r>
                      </m:num>
                      <m:den>
                        <m:r>
                          <m:rPr>
                            <m:sty m:val="p"/>
                          </m:rPr>
                          <a:rPr lang="en-US" sz="1100" b="0" i="0">
                            <a:solidFill>
                              <a:schemeClr val="tx1"/>
                            </a:solidFill>
                            <a:effectLst/>
                            <a:latin typeface="Cambria Math" panose="02040503050406030204" pitchFamily="18" charset="0"/>
                            <a:ea typeface="+mn-ea"/>
                            <a:cs typeface="+mn-cs"/>
                          </a:rPr>
                          <m:t>hour</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24 </m:t>
                        </m:r>
                        <m:r>
                          <m:rPr>
                            <m:sty m:val="p"/>
                          </m:rPr>
                          <a:rPr lang="en-US" sz="1100" b="0" i="0">
                            <a:latin typeface="Cambria Math" panose="02040503050406030204" pitchFamily="18" charset="0"/>
                            <a:ea typeface="Cambria Math" panose="02040503050406030204" pitchFamily="18" charset="0"/>
                          </a:rPr>
                          <m:t>hours</m:t>
                        </m:r>
                      </m:num>
                      <m:den>
                        <m:r>
                          <m:rPr>
                            <m:sty m:val="p"/>
                          </m:rPr>
                          <a:rPr lang="en-US" sz="1100" b="0" i="0">
                            <a:latin typeface="Cambria Math" panose="02040503050406030204" pitchFamily="18" charset="0"/>
                            <a:ea typeface="Cambria Math" panose="02040503050406030204" pitchFamily="18" charset="0"/>
                          </a:rPr>
                          <m:t>day</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8 </m:t>
                        </m:r>
                        <m:r>
                          <m:rPr>
                            <m:sty m:val="p"/>
                          </m:rPr>
                          <a:rPr lang="en-US" sz="1100" b="0" i="0">
                            <a:latin typeface="Cambria Math" panose="02040503050406030204" pitchFamily="18" charset="0"/>
                            <a:ea typeface="Cambria Math" panose="02040503050406030204" pitchFamily="18" charset="0"/>
                          </a:rPr>
                          <m:t>days</m:t>
                        </m:r>
                      </m:num>
                      <m:den>
                        <m:r>
                          <m:rPr>
                            <m:sty m:val="p"/>
                          </m:rPr>
                          <a:rPr lang="en-US" sz="1100" b="0" i="0">
                            <a:latin typeface="Cambria Math" panose="02040503050406030204" pitchFamily="18" charset="0"/>
                            <a:ea typeface="Cambria Math" panose="02040503050406030204" pitchFamily="18" charset="0"/>
                          </a:rPr>
                          <m:t>year</m:t>
                        </m:r>
                      </m:den>
                    </m:f>
                  </m:oMath>
                </m:oMathPara>
              </a14:m>
              <a:endParaRPr lang="en-US" sz="1100" i="0"/>
            </a:p>
          </xdr:txBody>
        </xdr:sp>
      </mc:Choice>
      <mc:Fallback xmlns="">
        <xdr:sp macro="" textlink="">
          <xdr:nvSpPr>
            <xdr:cNvPr id="93" name="TextBox 92">
              <a:extLst>
                <a:ext uri="{FF2B5EF4-FFF2-40B4-BE49-F238E27FC236}">
                  <a16:creationId xmlns:a16="http://schemas.microsoft.com/office/drawing/2014/main" id="{A8E1E2E1-D00B-47B8-90F5-D387491CA303}"/>
                </a:ext>
              </a:extLst>
            </xdr:cNvPr>
            <xdr:cNvSpPr txBox="1"/>
          </xdr:nvSpPr>
          <xdr:spPr>
            <a:xfrm>
              <a:off x="2724150" y="2495550"/>
              <a:ext cx="8633454"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n-US" sz="1100" b="0" i="0">
                  <a:latin typeface="Cambria Math" panose="02040503050406030204" pitchFamily="18" charset="0"/>
                </a:rPr>
                <a:t>+(7 gallons )/(burst</a:t>
              </a:r>
              <a:r>
                <a:rPr lang="en-US" sz="1100" b="0" i="0">
                  <a:latin typeface="Cambria Math" panose="02040503050406030204" pitchFamily="18" charset="0"/>
                  <a:ea typeface="Cambria Math" panose="02040503050406030204" pitchFamily="18" charset="0"/>
                </a:rPr>
                <a:t>∙minute)×</a:t>
              </a:r>
              <a:r>
                <a:rPr lang="en-US" sz="1100" b="0" i="0">
                  <a:solidFill>
                    <a:schemeClr val="tx1"/>
                  </a:solidFill>
                  <a:effectLst/>
                  <a:latin typeface="Cambria Math" panose="02040503050406030204" pitchFamily="18" charset="0"/>
                  <a:ea typeface="+mn-ea"/>
                  <a:cs typeface="+mn-cs"/>
                </a:rPr>
                <a:t>(1 acrefeet)/(325,851 gallons)</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rPr>
                <a:t>(0.75 leaks)/(1000 service connections</a:t>
              </a:r>
              <a:r>
                <a:rPr lang="en-US" sz="1100" b="0" i="0">
                  <a:latin typeface="Cambria Math" panose="02040503050406030204" pitchFamily="18" charset="0"/>
                  <a:ea typeface="Cambria Math" panose="02040503050406030204" pitchFamily="18" charset="0"/>
                </a:rPr>
                <a:t>∙year)×(</a:t>
              </a:r>
              <a:r>
                <a:rPr lang="en-US" sz="1100" b="0" i="0">
                  <a:solidFill>
                    <a:schemeClr val="tx1"/>
                  </a:solidFill>
                  <a:effectLst/>
                  <a:latin typeface="+mn-lt"/>
                  <a:ea typeface="+mn-ea"/>
                  <a:cs typeface="+mn-cs"/>
                </a:rPr>
                <a:t>Total number of service connections</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1000×(</a:t>
              </a:r>
              <a:r>
                <a:rPr lang="en-US" sz="1100" b="0" i="0">
                  <a:solidFill>
                    <a:schemeClr val="tx1"/>
                  </a:solidFill>
                  <a:effectLst/>
                  <a:latin typeface="Cambria Math" panose="02040503050406030204" pitchFamily="18" charset="0"/>
                  <a:ea typeface="+mn-ea"/>
                  <a:cs typeface="+mn-cs"/>
                </a:rPr>
                <a:t>60 minutes</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hour</a:t>
              </a:r>
              <a:r>
                <a:rPr lang="en-US" sz="1100" b="0" i="0">
                  <a:latin typeface="Cambria Math" panose="02040503050406030204" pitchFamily="18" charset="0"/>
                  <a:ea typeface="Cambria Math" panose="02040503050406030204" pitchFamily="18" charset="0"/>
                </a:rPr>
                <a:t>×(24 hours)/day×(8 days)/year</a:t>
              </a:r>
              <a:endParaRPr lang="en-US" sz="1100" i="0"/>
            </a:p>
          </xdr:txBody>
        </xdr:sp>
      </mc:Fallback>
    </mc:AlternateContent>
    <xdr:clientData/>
  </xdr:oneCellAnchor>
  <xdr:oneCellAnchor>
    <xdr:from>
      <xdr:col>0</xdr:col>
      <xdr:colOff>104775</xdr:colOff>
      <xdr:row>107</xdr:row>
      <xdr:rowOff>152400</xdr:rowOff>
    </xdr:from>
    <xdr:ext cx="9829800" cy="179070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59B182E-7D1B-4C0E-8174-E857ACA26142}"/>
                </a:ext>
              </a:extLst>
            </xdr:cNvPr>
            <xdr:cNvSpPr txBox="1"/>
          </xdr:nvSpPr>
          <xdr:spPr>
            <a:xfrm>
              <a:off x="104775" y="30432375"/>
              <a:ext cx="98298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Arial" panose="020B0604020202020204" pitchFamily="34" charset="0"/>
                  <a:ea typeface="+mn-ea"/>
                  <a:cs typeface="Arial" panose="020B0604020202020204" pitchFamily="34" charset="0"/>
                </a:rPr>
                <a:t>The leakage occurring in each time step is the area under the curve traced by the leakage level and time. The area under the leakage curve for each time step, marked by the dashed area in the schematic, is as follows:</a:t>
              </a:r>
            </a:p>
            <a:p>
              <a14:m>
                <m:oMath xmlns:m="http://schemas.openxmlformats.org/officeDocument/2006/math">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−0.5</m:t>
                          </m:r>
                        </m:e>
                      </m:d>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−0.5</m:t>
                      </m:r>
                    </m:e>
                  </m:d>
                </m:oMath>
              </a14:m>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During the first survey, while the ‘i’</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part is being surveyed, (i-1) parts would have been surveyed. Hence, out of ‘N’ parts, (N - i +1) parts would remain to be surveyed and would have been leaking due to the naturally rising leakage.</a:t>
              </a:r>
            </a:p>
            <a:p>
              <a:r>
                <a:rPr lang="en-US" sz="1100">
                  <a:solidFill>
                    <a:schemeClr val="tx1"/>
                  </a:solidFill>
                  <a:effectLst/>
                  <a:latin typeface="Arial" panose="020B0604020202020204" pitchFamily="34" charset="0"/>
                  <a:ea typeface="+mn-ea"/>
                  <a:cs typeface="Arial" panose="020B0604020202020204" pitchFamily="34" charset="0"/>
                </a:rPr>
                <a:t>The total leakage due to this component is: </a:t>
              </a:r>
              <a14:m>
                <m:oMath xmlns:m="http://schemas.openxmlformats.org/officeDocument/2006/math">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𝑁</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e>
                  </m:d>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−0.5</m:t>
                          </m:r>
                        </m:e>
                      </m:d>
                    </m:e>
                  </m:d>
                </m:oMath>
              </a14:m>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 After the entire system is surveyed once, this component becomes zero.</a:t>
              </a:r>
            </a:p>
            <a:p>
              <a:endParaRPr lang="en-US" sz="1100">
                <a:latin typeface="Arial" panose="020B0604020202020204" pitchFamily="34" charset="0"/>
                <a:cs typeface="Arial" panose="020B0604020202020204" pitchFamily="34" charset="0"/>
              </a:endParaRPr>
            </a:p>
          </xdr:txBody>
        </xdr:sp>
      </mc:Choice>
      <mc:Fallback xmlns="">
        <xdr:sp macro="" textlink="">
          <xdr:nvSpPr>
            <xdr:cNvPr id="2" name="TextBox 1">
              <a:extLst>
                <a:ext uri="{FF2B5EF4-FFF2-40B4-BE49-F238E27FC236}">
                  <a16:creationId xmlns:a16="http://schemas.microsoft.com/office/drawing/2014/main" id="{859B182E-7D1B-4C0E-8174-E857ACA26142}"/>
                </a:ext>
              </a:extLst>
            </xdr:cNvPr>
            <xdr:cNvSpPr txBox="1"/>
          </xdr:nvSpPr>
          <xdr:spPr>
            <a:xfrm>
              <a:off x="104775" y="30432375"/>
              <a:ext cx="98298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Arial" panose="020B0604020202020204" pitchFamily="34" charset="0"/>
                  <a:ea typeface="+mn-ea"/>
                  <a:cs typeface="Arial" panose="020B0604020202020204" pitchFamily="34" charset="0"/>
                </a:rPr>
                <a:t>The leakage occurring in each time step is the area under the curve traced by the leakage level and time. The area under the leakage curve for each time step, marked by the dashed area in the schematic, is as follows:</a:t>
              </a:r>
            </a:p>
            <a:p>
              <a:r>
                <a:rPr lang="en-US" sz="1100" i="0">
                  <a:solidFill>
                    <a:schemeClr val="tx1"/>
                  </a:solidFill>
                  <a:effectLst/>
                  <a:latin typeface="+mn-lt"/>
                  <a:ea typeface="+mn-ea"/>
                  <a:cs typeface="+mn-cs"/>
                </a:rPr>
                <a:t>1/2×(𝑟×(𝑖−1)×∆𝑇)×∆𝑇=(𝑟×∆𝑇×(𝑖−0.5))×∆𝑇=𝑟×〖∆𝑇〗^2×(𝑖−0.5)</a:t>
              </a:r>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During the first survey, while the ‘i’</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part is being surveyed, (i-1) parts would have been surveyed. Hence, out of ‘N’ parts, (N - i +1) parts would remain to be surveyed and would have been leaking due to the naturally rising leakage.</a:t>
              </a:r>
            </a:p>
            <a:p>
              <a:r>
                <a:rPr lang="en-US" sz="1100">
                  <a:solidFill>
                    <a:schemeClr val="tx1"/>
                  </a:solidFill>
                  <a:effectLst/>
                  <a:latin typeface="Arial" panose="020B0604020202020204" pitchFamily="34" charset="0"/>
                  <a:ea typeface="+mn-ea"/>
                  <a:cs typeface="Arial" panose="020B0604020202020204" pitchFamily="34" charset="0"/>
                </a:rPr>
                <a:t>The total leakage due to this component is: </a:t>
              </a:r>
              <a:r>
                <a:rPr lang="en-US" sz="1100" i="0">
                  <a:solidFill>
                    <a:schemeClr val="tx1"/>
                  </a:solidFill>
                  <a:effectLst/>
                  <a:latin typeface="+mn-lt"/>
                  <a:ea typeface="+mn-ea"/>
                  <a:cs typeface="+mn-cs"/>
                </a:rPr>
                <a:t>(𝑁−𝑖+1)×(𝑟×〖∆𝑇〗^2×(𝑖−0.5))</a:t>
              </a:r>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 After the entire system is surveyed once, this component becomes zero.</a:t>
              </a:r>
            </a:p>
            <a:p>
              <a:endParaRPr lang="en-US" sz="1100">
                <a:latin typeface="Arial" panose="020B0604020202020204" pitchFamily="34" charset="0"/>
                <a:cs typeface="Arial" panose="020B0604020202020204" pitchFamily="34" charset="0"/>
              </a:endParaRPr>
            </a:p>
          </xdr:txBody>
        </xdr:sp>
      </mc:Fallback>
    </mc:AlternateContent>
    <xdr:clientData/>
  </xdr:oneCellAnchor>
  <xdr:twoCellAnchor editAs="oneCell">
    <xdr:from>
      <xdr:col>0</xdr:col>
      <xdr:colOff>0</xdr:colOff>
      <xdr:row>123</xdr:row>
      <xdr:rowOff>28575</xdr:rowOff>
    </xdr:from>
    <xdr:to>
      <xdr:col>5</xdr:col>
      <xdr:colOff>327660</xdr:colOff>
      <xdr:row>149</xdr:row>
      <xdr:rowOff>7620</xdr:rowOff>
    </xdr:to>
    <xdr:pic>
      <xdr:nvPicPr>
        <xdr:cNvPr id="94" name="Picture 93">
          <a:extLst>
            <a:ext uri="{FF2B5EF4-FFF2-40B4-BE49-F238E27FC236}">
              <a16:creationId xmlns:a16="http://schemas.microsoft.com/office/drawing/2014/main" id="{0D8B3022-9F57-47CA-B649-4D478E85334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3280350"/>
          <a:ext cx="5394960" cy="4389120"/>
        </a:xfrm>
        <a:prstGeom prst="rect">
          <a:avLst/>
        </a:prstGeom>
        <a:noFill/>
      </xdr:spPr>
    </xdr:pic>
    <xdr:clientData/>
  </xdr:twoCellAnchor>
  <xdr:oneCellAnchor>
    <xdr:from>
      <xdr:col>0</xdr:col>
      <xdr:colOff>123825</xdr:colOff>
      <xdr:row>116</xdr:row>
      <xdr:rowOff>152400</xdr:rowOff>
    </xdr:from>
    <xdr:ext cx="9905999" cy="1227900"/>
    <xdr:sp macro="" textlink="">
      <xdr:nvSpPr>
        <xdr:cNvPr id="7" name="TextBox 6">
          <a:extLst>
            <a:ext uri="{FF2B5EF4-FFF2-40B4-BE49-F238E27FC236}">
              <a16:creationId xmlns:a16="http://schemas.microsoft.com/office/drawing/2014/main" id="{AA3B1FCA-526C-4F26-98BE-802D05B27FDD}"/>
            </a:ext>
          </a:extLst>
        </xdr:cNvPr>
        <xdr:cNvSpPr txBox="1"/>
      </xdr:nvSpPr>
      <xdr:spPr>
        <a:xfrm>
          <a:off x="123825" y="32242125"/>
          <a:ext cx="9905999" cy="1227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u="sng">
              <a:solidFill>
                <a:schemeClr val="tx1"/>
              </a:solidFill>
              <a:effectLst/>
              <a:latin typeface="Arial" panose="020B0604020202020204" pitchFamily="34" charset="0"/>
              <a:ea typeface="+mn-ea"/>
              <a:cs typeface="Arial" panose="020B0604020202020204" pitchFamily="34" charset="0"/>
            </a:rPr>
            <a:t>Water lost only due to natural rise in leakage in parts of the system surveyed previously:</a:t>
          </a:r>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Each part of the system starts leaking after a survey as the leakage rises naturally in the distribution system after being surveyed. The leakage occurring in each time step is the rise in leakage that occurs over that time step for all parts in the system. Since this component of leakage occurs in previously surveyed parts, all parts are surveyed at different times.</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The following schematic shows how leakage occurs in different parts of the system that have been surveyed before, in a time step, due to this component.</a:t>
          </a:r>
        </a:p>
        <a:p>
          <a:endParaRPr lang="en-US" sz="1100">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199</xdr:row>
      <xdr:rowOff>0</xdr:rowOff>
    </xdr:from>
    <xdr:to>
      <xdr:col>3</xdr:col>
      <xdr:colOff>257175</xdr:colOff>
      <xdr:row>217</xdr:row>
      <xdr:rowOff>51435</xdr:rowOff>
    </xdr:to>
    <xdr:pic>
      <xdr:nvPicPr>
        <xdr:cNvPr id="95" name="Picture 94">
          <a:extLst>
            <a:ext uri="{FF2B5EF4-FFF2-40B4-BE49-F238E27FC236}">
              <a16:creationId xmlns:a16="http://schemas.microsoft.com/office/drawing/2014/main" id="{DC6CD903-7F73-4047-840F-26039B6D905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6758225"/>
          <a:ext cx="4105275" cy="296608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142875</xdr:colOff>
      <xdr:row>20</xdr:row>
      <xdr:rowOff>38100</xdr:rowOff>
    </xdr:from>
    <xdr:to>
      <xdr:col>8</xdr:col>
      <xdr:colOff>885826</xdr:colOff>
      <xdr:row>41</xdr:row>
      <xdr:rowOff>76200</xdr:rowOff>
    </xdr:to>
    <xdr:graphicFrame macro="">
      <xdr:nvGraphicFramePr>
        <xdr:cNvPr id="4" name="Chart 3" descr="Metropolitan Water District Treated Water Rates">
          <a:extLst>
            <a:ext uri="{FF2B5EF4-FFF2-40B4-BE49-F238E27FC236}">
              <a16:creationId xmlns:a16="http://schemas.microsoft.com/office/drawing/2014/main" id="{C698EA20-8CEB-48E1-A270-06610DFC4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44</xdr:row>
      <xdr:rowOff>114300</xdr:rowOff>
    </xdr:from>
    <xdr:to>
      <xdr:col>3</xdr:col>
      <xdr:colOff>377454</xdr:colOff>
      <xdr:row>85</xdr:row>
      <xdr:rowOff>91440</xdr:rowOff>
    </xdr:to>
    <xdr:pic>
      <xdr:nvPicPr>
        <xdr:cNvPr id="7" name="Picture 6">
          <a:extLst>
            <a:ext uri="{FF2B5EF4-FFF2-40B4-BE49-F238E27FC236}">
              <a16:creationId xmlns:a16="http://schemas.microsoft.com/office/drawing/2014/main" id="{12BE7137-E902-4AA7-8976-A48E6D00F6A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60" t="3777" r="5026" b="3119"/>
        <a:stretch/>
      </xdr:blipFill>
      <xdr:spPr bwMode="auto">
        <a:xfrm>
          <a:off x="0" y="6657975"/>
          <a:ext cx="6844929" cy="7406640"/>
        </a:xfrm>
        <a:prstGeom prst="rect">
          <a:avLst/>
        </a:prstGeom>
        <a:noFill/>
        <a:ln>
          <a:solidFill>
            <a:schemeClr val="bg2">
              <a:lumMod val="5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subsurfaceleak.com/waterleakdetec.html" TargetMode="External"/><Relationship Id="rId1" Type="http://schemas.openxmlformats.org/officeDocument/2006/relationships/hyperlink" Target="http://www.subsurfaceleak.com/waterleakdetec.html"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9"/>
  <sheetViews>
    <sheetView tabSelected="1" workbookViewId="0">
      <selection activeCell="D10" sqref="D10"/>
    </sheetView>
  </sheetViews>
  <sheetFormatPr defaultRowHeight="14.25" x14ac:dyDescent="0.2"/>
  <cols>
    <col min="1" max="1" width="40.42578125" style="2" customWidth="1"/>
    <col min="2" max="2" width="113.7109375" style="2" customWidth="1"/>
    <col min="3" max="4" width="15.42578125" style="2" bestFit="1" customWidth="1"/>
    <col min="5" max="5" width="22.7109375" style="2" bestFit="1" customWidth="1"/>
    <col min="6" max="6" width="66.7109375" style="2" bestFit="1" customWidth="1"/>
    <col min="7" max="16384" width="9.140625" style="2"/>
  </cols>
  <sheetData>
    <row r="1" spans="1:3" ht="20.25" x14ac:dyDescent="0.3">
      <c r="A1" s="1"/>
    </row>
    <row r="2" spans="1:3" ht="20.25" x14ac:dyDescent="0.3">
      <c r="A2" s="1"/>
    </row>
    <row r="3" spans="1:3" ht="15" x14ac:dyDescent="0.25">
      <c r="A3" s="3"/>
    </row>
    <row r="4" spans="1:3" ht="20.25" x14ac:dyDescent="0.3">
      <c r="A4" s="1"/>
    </row>
    <row r="5" spans="1:3" ht="20.25" x14ac:dyDescent="0.3">
      <c r="A5" s="1"/>
    </row>
    <row r="6" spans="1:3" ht="15.75" customHeight="1" x14ac:dyDescent="0.3">
      <c r="A6" s="1"/>
    </row>
    <row r="7" spans="1:3" ht="26.25" x14ac:dyDescent="0.4">
      <c r="A7" s="1"/>
      <c r="B7" s="11" t="s">
        <v>54</v>
      </c>
    </row>
    <row r="8" spans="1:3" ht="11.25" customHeight="1" x14ac:dyDescent="0.3">
      <c r="A8" s="1"/>
    </row>
    <row r="9" spans="1:3" ht="20.25" x14ac:dyDescent="0.3">
      <c r="B9" s="10" t="s">
        <v>55</v>
      </c>
    </row>
    <row r="10" spans="1:3" ht="18" customHeight="1" x14ac:dyDescent="0.25">
      <c r="B10" s="626" t="s">
        <v>609</v>
      </c>
      <c r="C10" s="5"/>
    </row>
    <row r="11" spans="1:3" ht="9" customHeight="1" thickBot="1" x14ac:dyDescent="0.25"/>
    <row r="12" spans="1:3" ht="100.5" thickBot="1" x14ac:dyDescent="0.25">
      <c r="B12" s="13" t="s">
        <v>617</v>
      </c>
    </row>
    <row r="13" spans="1:3" ht="13.5" customHeight="1" thickBot="1" x14ac:dyDescent="0.25"/>
    <row r="14" spans="1:3" ht="21" customHeight="1" x14ac:dyDescent="0.2">
      <c r="B14" s="18" t="s">
        <v>82</v>
      </c>
    </row>
    <row r="15" spans="1:3" ht="30" customHeight="1" x14ac:dyDescent="0.2">
      <c r="B15" s="250" t="s">
        <v>361</v>
      </c>
    </row>
    <row r="16" spans="1:3" ht="48.75" customHeight="1" x14ac:dyDescent="0.2">
      <c r="B16" s="250" t="s">
        <v>81</v>
      </c>
    </row>
    <row r="17" spans="1:4" ht="45.75" customHeight="1" x14ac:dyDescent="0.2">
      <c r="B17" s="250" t="s">
        <v>362</v>
      </c>
    </row>
    <row r="18" spans="1:4" ht="33.75" customHeight="1" x14ac:dyDescent="0.2">
      <c r="B18" s="250" t="s">
        <v>550</v>
      </c>
    </row>
    <row r="19" spans="1:4" ht="35.25" customHeight="1" thickBot="1" x14ac:dyDescent="0.25">
      <c r="B19" s="251" t="s">
        <v>253</v>
      </c>
    </row>
    <row r="20" spans="1:4" ht="12" customHeight="1" thickBot="1" x14ac:dyDescent="0.25"/>
    <row r="21" spans="1:4" ht="18" customHeight="1" x14ac:dyDescent="0.25">
      <c r="B21" s="14" t="s">
        <v>56</v>
      </c>
    </row>
    <row r="22" spans="1:4" ht="18" customHeight="1" x14ac:dyDescent="0.2">
      <c r="B22" s="15" t="s">
        <v>618</v>
      </c>
    </row>
    <row r="23" spans="1:4" ht="18" customHeight="1" x14ac:dyDescent="0.2">
      <c r="B23" s="16" t="s">
        <v>57</v>
      </c>
    </row>
    <row r="24" spans="1:4" ht="10.5" customHeight="1" thickBot="1" x14ac:dyDescent="0.25">
      <c r="B24" s="17"/>
    </row>
    <row r="25" spans="1:4" ht="18" customHeight="1" x14ac:dyDescent="0.2">
      <c r="A25" s="9"/>
    </row>
    <row r="26" spans="1:4" ht="18" customHeight="1" x14ac:dyDescent="0.2"/>
    <row r="27" spans="1:4" ht="18" customHeight="1" x14ac:dyDescent="0.25">
      <c r="A27" s="6"/>
      <c r="B27" s="7"/>
    </row>
    <row r="28" spans="1:4" ht="18" customHeight="1" x14ac:dyDescent="0.25">
      <c r="B28" s="4"/>
      <c r="C28" s="8"/>
      <c r="D28" s="8"/>
    </row>
    <row r="29" spans="1:4" ht="18" customHeight="1" x14ac:dyDescent="0.2"/>
    <row r="30" spans="1:4" ht="18" customHeight="1" x14ac:dyDescent="0.2"/>
    <row r="31" spans="1:4" ht="18" customHeight="1" x14ac:dyDescent="0.2"/>
    <row r="32" spans="1:4" ht="18" customHeight="1" x14ac:dyDescent="0.2"/>
    <row r="33" spans="1:4" ht="18" customHeight="1" x14ac:dyDescent="0.25">
      <c r="A33" s="7"/>
    </row>
    <row r="34" spans="1:4" ht="18" customHeight="1" x14ac:dyDescent="0.25">
      <c r="A34" s="7"/>
      <c r="B34" s="4"/>
      <c r="C34" s="4"/>
      <c r="D34" s="4"/>
    </row>
    <row r="35" spans="1:4" ht="18" customHeight="1" x14ac:dyDescent="0.2"/>
    <row r="36" spans="1:4" ht="18" customHeight="1" x14ac:dyDescent="0.2"/>
    <row r="37" spans="1:4" ht="18" customHeight="1" x14ac:dyDescent="0.2"/>
    <row r="38" spans="1:4" ht="18" customHeight="1" x14ac:dyDescent="0.2"/>
    <row r="39" spans="1:4" ht="18" customHeight="1" x14ac:dyDescent="0.2"/>
  </sheetData>
  <pageMargins left="0.7" right="0.7" top="0.75" bottom="0.75" header="0.3" footer="0.3"/>
  <pageSetup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1C5E2-331A-424E-BF77-CAB8660B2EDB}">
  <dimension ref="A1:O55"/>
  <sheetViews>
    <sheetView zoomScaleNormal="100" workbookViewId="0">
      <pane ySplit="7" topLeftCell="A41" activePane="bottomLeft" state="frozen"/>
      <selection pane="bottomLeft" activeCell="A43" sqref="A43"/>
    </sheetView>
  </sheetViews>
  <sheetFormatPr defaultRowHeight="14.25" x14ac:dyDescent="0.2"/>
  <cols>
    <col min="1" max="1" width="56.5703125" style="113" customWidth="1"/>
    <col min="2" max="2" width="8.140625" style="113" customWidth="1"/>
    <col min="3" max="3" width="30.85546875" style="2" customWidth="1"/>
    <col min="4" max="4" width="97.85546875" style="113" customWidth="1"/>
    <col min="5" max="12" width="9.140625" style="113"/>
    <col min="13" max="13" width="10.85546875" style="113" customWidth="1"/>
    <col min="14" max="14" width="9.140625" style="113"/>
    <col min="15" max="15" width="15.85546875" style="113" customWidth="1"/>
    <col min="16" max="16384" width="9.140625" style="113"/>
  </cols>
  <sheetData>
    <row r="1" spans="1:15" ht="27.75" customHeight="1" x14ac:dyDescent="0.2">
      <c r="A1" s="634" t="s">
        <v>537</v>
      </c>
      <c r="B1" s="635"/>
      <c r="C1" s="635"/>
      <c r="D1" s="636"/>
      <c r="E1" s="2"/>
      <c r="F1" s="2"/>
      <c r="G1" s="2"/>
      <c r="H1" s="2"/>
      <c r="I1" s="2"/>
      <c r="J1" s="2"/>
      <c r="K1" s="2"/>
      <c r="L1" s="2"/>
      <c r="M1" s="2"/>
      <c r="N1" s="2"/>
      <c r="O1" s="2"/>
    </row>
    <row r="2" spans="1:15" ht="27.75" customHeight="1" x14ac:dyDescent="0.2">
      <c r="A2" s="650" t="s">
        <v>378</v>
      </c>
      <c r="B2" s="650"/>
      <c r="C2" s="650"/>
      <c r="D2" s="651"/>
      <c r="E2" s="2"/>
      <c r="F2" s="2"/>
      <c r="G2" s="2"/>
      <c r="H2" s="2"/>
      <c r="I2" s="2"/>
      <c r="J2" s="2"/>
      <c r="K2" s="2"/>
      <c r="L2" s="2"/>
      <c r="M2" s="2"/>
      <c r="N2" s="2"/>
      <c r="O2" s="2"/>
    </row>
    <row r="3" spans="1:15" ht="16.5" x14ac:dyDescent="0.2">
      <c r="A3" s="395" t="s">
        <v>78</v>
      </c>
      <c r="B3" s="2"/>
      <c r="D3" s="36"/>
      <c r="E3" s="2"/>
      <c r="F3" s="2"/>
      <c r="G3" s="2"/>
      <c r="H3" s="2"/>
      <c r="I3" s="2"/>
      <c r="J3" s="2"/>
      <c r="K3" s="2"/>
      <c r="L3" s="2"/>
      <c r="M3" s="2"/>
      <c r="N3" s="2"/>
      <c r="O3" s="2"/>
    </row>
    <row r="4" spans="1:15" x14ac:dyDescent="0.2">
      <c r="A4" s="394" t="s">
        <v>402</v>
      </c>
      <c r="B4" s="48"/>
      <c r="D4" s="36"/>
      <c r="E4" s="2"/>
      <c r="F4" s="2"/>
      <c r="G4" s="2"/>
      <c r="H4" s="2"/>
      <c r="I4" s="2"/>
      <c r="J4" s="2"/>
      <c r="K4" s="2"/>
      <c r="L4" s="2"/>
      <c r="M4" s="2"/>
      <c r="N4" s="2"/>
      <c r="O4" s="2"/>
    </row>
    <row r="5" spans="1:15" x14ac:dyDescent="0.2">
      <c r="A5" s="394" t="s">
        <v>328</v>
      </c>
      <c r="B5" s="280"/>
      <c r="D5" s="36"/>
      <c r="E5" s="2"/>
      <c r="F5" s="2"/>
      <c r="G5" s="2"/>
      <c r="H5" s="2"/>
      <c r="I5" s="2"/>
      <c r="J5" s="2"/>
      <c r="K5" s="2"/>
      <c r="L5" s="2"/>
      <c r="M5" s="2"/>
      <c r="N5" s="2"/>
      <c r="O5" s="2"/>
    </row>
    <row r="6" spans="1:15" x14ac:dyDescent="0.2">
      <c r="A6" s="394" t="s">
        <v>72</v>
      </c>
      <c r="B6" s="49"/>
      <c r="D6" s="36"/>
      <c r="E6" s="2"/>
      <c r="F6" s="2"/>
      <c r="G6" s="2"/>
      <c r="H6" s="2"/>
      <c r="I6" s="2"/>
      <c r="J6" s="2"/>
      <c r="K6" s="2"/>
      <c r="L6" s="2"/>
      <c r="M6" s="2"/>
      <c r="N6" s="2"/>
      <c r="O6" s="2"/>
    </row>
    <row r="7" spans="1:15" x14ac:dyDescent="0.2">
      <c r="A7" s="341"/>
      <c r="B7" s="2"/>
      <c r="D7" s="36"/>
      <c r="E7" s="2"/>
      <c r="F7" s="2"/>
      <c r="G7" s="2"/>
      <c r="H7" s="2"/>
      <c r="I7" s="2"/>
      <c r="J7" s="2"/>
      <c r="K7" s="2"/>
      <c r="L7" s="2"/>
      <c r="M7" s="2"/>
      <c r="N7" s="2"/>
      <c r="O7" s="2"/>
    </row>
    <row r="8" spans="1:15" ht="27" customHeight="1" x14ac:dyDescent="0.2">
      <c r="A8" s="643" t="s">
        <v>397</v>
      </c>
      <c r="B8" s="644"/>
      <c r="C8" s="644"/>
      <c r="D8" s="645"/>
      <c r="E8" s="2"/>
      <c r="F8" s="2"/>
      <c r="G8" s="2"/>
      <c r="H8" s="2"/>
      <c r="I8" s="2"/>
      <c r="J8" s="2"/>
      <c r="K8" s="2"/>
      <c r="L8" s="2"/>
      <c r="M8" s="2"/>
      <c r="N8" s="2"/>
      <c r="O8" s="2"/>
    </row>
    <row r="9" spans="1:15" ht="18" customHeight="1" x14ac:dyDescent="0.2">
      <c r="A9" s="232" t="s">
        <v>552</v>
      </c>
      <c r="B9" s="233">
        <v>10171</v>
      </c>
      <c r="C9" s="234" t="s">
        <v>0</v>
      </c>
      <c r="D9" s="235" t="s">
        <v>562</v>
      </c>
      <c r="E9" s="2"/>
      <c r="F9" s="2"/>
      <c r="G9" s="2"/>
      <c r="H9" s="2"/>
      <c r="I9" s="2"/>
      <c r="J9" s="2"/>
      <c r="K9" s="2"/>
      <c r="L9" s="2"/>
      <c r="M9" s="2"/>
      <c r="N9" s="2"/>
      <c r="O9" s="2"/>
    </row>
    <row r="10" spans="1:15" ht="18" customHeight="1" x14ac:dyDescent="0.2">
      <c r="A10" s="22" t="s">
        <v>559</v>
      </c>
      <c r="B10" s="230">
        <v>3347</v>
      </c>
      <c r="C10" s="23" t="s">
        <v>1</v>
      </c>
      <c r="D10" s="235" t="s">
        <v>563</v>
      </c>
      <c r="E10" s="2"/>
      <c r="F10" s="2"/>
      <c r="G10" s="2"/>
      <c r="H10" s="2"/>
      <c r="I10" s="2"/>
      <c r="J10" s="2"/>
      <c r="K10" s="2"/>
      <c r="L10" s="2"/>
      <c r="M10" s="2"/>
      <c r="N10" s="2"/>
      <c r="O10" s="2"/>
    </row>
    <row r="11" spans="1:15" ht="18" customHeight="1" x14ac:dyDescent="0.2">
      <c r="A11" s="24" t="s">
        <v>560</v>
      </c>
      <c r="B11" s="231">
        <v>284399</v>
      </c>
      <c r="C11" s="25" t="s">
        <v>9</v>
      </c>
      <c r="D11" s="235" t="s">
        <v>564</v>
      </c>
      <c r="E11" s="2"/>
      <c r="F11" s="2"/>
      <c r="G11" s="2"/>
      <c r="H11" s="2"/>
      <c r="I11" s="2"/>
      <c r="J11" s="2"/>
      <c r="K11" s="2"/>
      <c r="L11" s="2"/>
      <c r="M11" s="2"/>
      <c r="N11" s="2"/>
      <c r="O11" s="2"/>
    </row>
    <row r="12" spans="1:15" ht="18" customHeight="1" x14ac:dyDescent="0.2">
      <c r="A12" s="22" t="s">
        <v>561</v>
      </c>
      <c r="B12" s="230">
        <v>1282</v>
      </c>
      <c r="C12" s="23" t="s">
        <v>3</v>
      </c>
      <c r="D12" s="235" t="s">
        <v>565</v>
      </c>
      <c r="E12" s="2"/>
      <c r="F12" s="2"/>
      <c r="G12" s="2"/>
      <c r="H12" s="2"/>
      <c r="I12" s="2"/>
      <c r="J12" s="2"/>
      <c r="K12" s="2"/>
      <c r="L12" s="2"/>
      <c r="M12" s="2"/>
      <c r="N12" s="2"/>
      <c r="O12" s="2"/>
    </row>
    <row r="13" spans="1:15" ht="18" customHeight="1" x14ac:dyDescent="0.2">
      <c r="A13" s="239" t="s">
        <v>79</v>
      </c>
      <c r="B13" s="240">
        <v>95</v>
      </c>
      <c r="C13" s="55" t="s">
        <v>80</v>
      </c>
      <c r="D13" s="346" t="s">
        <v>566</v>
      </c>
      <c r="E13" s="2"/>
      <c r="F13" s="2"/>
      <c r="G13" s="2"/>
      <c r="H13" s="2"/>
      <c r="I13" s="2"/>
      <c r="J13" s="2"/>
      <c r="K13" s="2"/>
      <c r="L13" s="2"/>
      <c r="M13" s="2"/>
      <c r="N13" s="2"/>
      <c r="O13" s="2"/>
    </row>
    <row r="14" spans="1:15" s="2" customFormat="1" ht="27.75" customHeight="1" x14ac:dyDescent="0.2">
      <c r="A14" s="342" t="s">
        <v>398</v>
      </c>
      <c r="B14" s="343"/>
      <c r="C14" s="344"/>
      <c r="D14" s="345"/>
    </row>
    <row r="15" spans="1:15" s="2" customFormat="1" ht="81.75" customHeight="1" x14ac:dyDescent="0.2">
      <c r="A15" s="637" t="s">
        <v>368</v>
      </c>
      <c r="B15" s="638"/>
      <c r="C15" s="638"/>
      <c r="D15" s="639"/>
    </row>
    <row r="16" spans="1:15" s="2" customFormat="1" ht="21.75" customHeight="1" x14ac:dyDescent="0.2">
      <c r="A16" s="640" t="s">
        <v>567</v>
      </c>
      <c r="B16" s="641"/>
      <c r="C16" s="641"/>
      <c r="D16" s="642"/>
    </row>
    <row r="17" spans="1:15" s="2" customFormat="1" ht="27" customHeight="1" x14ac:dyDescent="0.2">
      <c r="A17" s="398" t="s">
        <v>421</v>
      </c>
      <c r="B17" s="399"/>
      <c r="C17" s="399"/>
      <c r="D17" s="400"/>
    </row>
    <row r="18" spans="1:15" s="2" customFormat="1" ht="106.5" customHeight="1" x14ac:dyDescent="0.2">
      <c r="A18" s="236" t="s">
        <v>327</v>
      </c>
      <c r="B18" s="377"/>
      <c r="C18" s="237" t="s">
        <v>334</v>
      </c>
      <c r="D18" s="238" t="s">
        <v>376</v>
      </c>
      <c r="E18" s="224"/>
      <c r="F18" s="224"/>
      <c r="G18" s="224"/>
    </row>
    <row r="19" spans="1:15" s="2" customFormat="1" ht="26.25" customHeight="1" x14ac:dyDescent="0.2">
      <c r="A19" s="648" t="s">
        <v>400</v>
      </c>
      <c r="B19" s="648"/>
      <c r="C19" s="648"/>
      <c r="D19" s="649"/>
      <c r="E19" s="224"/>
      <c r="F19" s="224"/>
      <c r="G19" s="224"/>
    </row>
    <row r="20" spans="1:15" ht="28.5" customHeight="1" x14ac:dyDescent="0.2">
      <c r="A20" s="378" t="s">
        <v>52</v>
      </c>
      <c r="B20" s="444">
        <v>1</v>
      </c>
      <c r="C20" s="23"/>
      <c r="D20" s="101" t="s">
        <v>575</v>
      </c>
      <c r="E20" s="2"/>
      <c r="F20" s="2"/>
      <c r="G20" s="2"/>
      <c r="H20" s="2"/>
      <c r="I20" s="2"/>
      <c r="J20" s="2"/>
      <c r="K20" s="2"/>
      <c r="L20" s="2"/>
      <c r="M20" s="2"/>
      <c r="N20" s="2"/>
      <c r="O20" s="2"/>
    </row>
    <row r="21" spans="1:15" ht="16.5" customHeight="1" x14ac:dyDescent="0.2">
      <c r="A21" s="605" t="s">
        <v>532</v>
      </c>
      <c r="B21" s="444"/>
      <c r="C21" s="23"/>
      <c r="D21" s="101"/>
      <c r="E21" s="2"/>
      <c r="F21" s="2"/>
      <c r="G21" s="2"/>
      <c r="H21" s="2"/>
      <c r="I21" s="2"/>
      <c r="J21" s="2"/>
      <c r="K21" s="2"/>
      <c r="L21" s="2"/>
      <c r="M21" s="2"/>
      <c r="N21" s="2"/>
      <c r="O21" s="2"/>
    </row>
    <row r="22" spans="1:15" ht="28.5" customHeight="1" x14ac:dyDescent="0.2">
      <c r="A22" s="379" t="s">
        <v>553</v>
      </c>
      <c r="B22" s="444"/>
      <c r="C22" s="29" t="s">
        <v>0</v>
      </c>
      <c r="D22" s="249" t="s">
        <v>576</v>
      </c>
      <c r="E22" s="2"/>
      <c r="F22" s="2"/>
      <c r="G22" s="2"/>
      <c r="H22" s="2"/>
      <c r="I22" s="2"/>
      <c r="J22" s="2"/>
      <c r="K22" s="2"/>
      <c r="L22" s="2"/>
      <c r="M22" s="2"/>
      <c r="N22" s="2"/>
      <c r="O22" s="2"/>
    </row>
    <row r="23" spans="1:15" ht="26.25" customHeight="1" x14ac:dyDescent="0.2">
      <c r="A23" s="648" t="s">
        <v>401</v>
      </c>
      <c r="B23" s="648"/>
      <c r="C23" s="648"/>
      <c r="D23" s="649"/>
      <c r="E23" s="2"/>
      <c r="F23" s="2"/>
      <c r="G23" s="2"/>
      <c r="H23" s="2"/>
      <c r="I23" s="2"/>
      <c r="J23" s="2"/>
      <c r="K23" s="2"/>
      <c r="L23" s="2"/>
      <c r="M23" s="2"/>
      <c r="N23" s="2"/>
      <c r="O23" s="2"/>
    </row>
    <row r="24" spans="1:15" ht="18.75" customHeight="1" x14ac:dyDescent="0.2">
      <c r="A24" s="426" t="s">
        <v>408</v>
      </c>
      <c r="B24" s="167"/>
      <c r="C24" s="167"/>
      <c r="D24" s="427"/>
      <c r="E24" s="2"/>
      <c r="F24" s="2"/>
      <c r="G24" s="2"/>
      <c r="H24" s="2"/>
      <c r="I24" s="2"/>
      <c r="J24" s="2"/>
      <c r="K24" s="2"/>
      <c r="L24" s="2"/>
      <c r="M24" s="2"/>
      <c r="N24" s="2"/>
      <c r="O24" s="2"/>
    </row>
    <row r="25" spans="1:15" ht="18.75" customHeight="1" x14ac:dyDescent="0.2">
      <c r="A25" s="432" t="s">
        <v>568</v>
      </c>
      <c r="B25" s="281">
        <v>3</v>
      </c>
      <c r="C25" s="234" t="s">
        <v>20</v>
      </c>
      <c r="D25" s="652" t="s">
        <v>369</v>
      </c>
      <c r="E25" s="2"/>
      <c r="F25" s="2"/>
      <c r="G25" s="2"/>
      <c r="H25" s="2"/>
      <c r="I25" s="2"/>
      <c r="J25" s="2"/>
      <c r="K25" s="2"/>
      <c r="L25" s="2"/>
      <c r="M25" s="2"/>
      <c r="N25" s="2"/>
      <c r="O25" s="2"/>
    </row>
    <row r="26" spans="1:15" ht="18.75" customHeight="1" x14ac:dyDescent="0.2">
      <c r="A26" s="378" t="s">
        <v>409</v>
      </c>
      <c r="B26" s="282">
        <v>0.2</v>
      </c>
      <c r="C26" s="23" t="s">
        <v>68</v>
      </c>
      <c r="D26" s="653"/>
      <c r="E26" s="2"/>
      <c r="F26" s="2"/>
      <c r="G26" s="2"/>
      <c r="H26" s="2"/>
      <c r="I26" s="2"/>
      <c r="J26" s="2"/>
      <c r="K26" s="2"/>
      <c r="L26" s="2"/>
      <c r="M26" s="2"/>
      <c r="N26" s="2"/>
      <c r="O26" s="2"/>
    </row>
    <row r="27" spans="1:15" ht="18.75" customHeight="1" x14ac:dyDescent="0.2">
      <c r="A27" s="379" t="s">
        <v>569</v>
      </c>
      <c r="B27" s="281">
        <v>50</v>
      </c>
      <c r="C27" s="29" t="s">
        <v>69</v>
      </c>
      <c r="D27" s="653"/>
      <c r="E27" s="2"/>
      <c r="F27" s="2"/>
      <c r="G27" s="2"/>
      <c r="H27" s="2"/>
      <c r="I27" s="2"/>
      <c r="J27" s="2"/>
      <c r="K27" s="2"/>
      <c r="L27" s="2"/>
      <c r="M27" s="2"/>
      <c r="N27" s="2"/>
      <c r="O27" s="2"/>
    </row>
    <row r="28" spans="1:15" ht="29.25" customHeight="1" x14ac:dyDescent="0.2">
      <c r="A28" s="428" t="s">
        <v>604</v>
      </c>
      <c r="B28" s="430"/>
      <c r="C28" s="30"/>
      <c r="D28" s="653"/>
      <c r="E28" s="2"/>
      <c r="F28" s="2"/>
      <c r="G28" s="2"/>
      <c r="H28" s="2"/>
      <c r="I28" s="2"/>
      <c r="J28" s="2"/>
      <c r="K28" s="2"/>
      <c r="L28" s="2"/>
      <c r="M28" s="2"/>
      <c r="N28" s="2"/>
      <c r="O28" s="2"/>
    </row>
    <row r="29" spans="1:15" ht="18.75" customHeight="1" x14ac:dyDescent="0.2">
      <c r="A29" s="432" t="s">
        <v>568</v>
      </c>
      <c r="B29" s="281">
        <v>8</v>
      </c>
      <c r="C29" s="234" t="s">
        <v>20</v>
      </c>
      <c r="D29" s="653"/>
      <c r="E29" s="2"/>
      <c r="F29" s="2"/>
      <c r="G29" s="2"/>
      <c r="H29" s="2"/>
      <c r="I29" s="2"/>
      <c r="J29" s="2"/>
      <c r="K29" s="2"/>
      <c r="L29" s="2"/>
      <c r="M29" s="2"/>
      <c r="N29" s="2"/>
      <c r="O29" s="2"/>
    </row>
    <row r="30" spans="1:15" ht="18.75" customHeight="1" x14ac:dyDescent="0.2">
      <c r="A30" s="378" t="s">
        <v>409</v>
      </c>
      <c r="B30" s="281">
        <v>2.25</v>
      </c>
      <c r="C30" s="23" t="s">
        <v>410</v>
      </c>
      <c r="D30" s="653"/>
      <c r="E30" s="2"/>
      <c r="F30" s="2"/>
      <c r="G30" s="2"/>
      <c r="H30" s="2"/>
      <c r="I30" s="2"/>
      <c r="J30" s="2"/>
      <c r="K30" s="2"/>
      <c r="L30" s="2"/>
      <c r="M30" s="2"/>
      <c r="N30" s="2"/>
      <c r="O30" s="2"/>
    </row>
    <row r="31" spans="1:15" ht="18.75" customHeight="1" x14ac:dyDescent="0.2">
      <c r="A31" s="379" t="s">
        <v>569</v>
      </c>
      <c r="B31" s="281">
        <v>7</v>
      </c>
      <c r="C31" s="29" t="s">
        <v>69</v>
      </c>
      <c r="D31" s="654"/>
      <c r="E31" s="2"/>
      <c r="F31" s="2"/>
      <c r="G31" s="2"/>
      <c r="H31" s="2"/>
      <c r="I31" s="2"/>
      <c r="J31" s="2"/>
      <c r="K31" s="2"/>
      <c r="L31" s="2"/>
      <c r="M31" s="2"/>
      <c r="N31" s="2"/>
      <c r="O31" s="2"/>
    </row>
    <row r="32" spans="1:15" ht="16.5" customHeight="1" x14ac:dyDescent="0.2">
      <c r="A32" s="606" t="s">
        <v>532</v>
      </c>
      <c r="B32" s="429"/>
      <c r="C32" s="192"/>
      <c r="D32" s="433"/>
      <c r="E32" s="2"/>
      <c r="F32" s="2"/>
      <c r="G32" s="2"/>
      <c r="H32" s="2"/>
      <c r="I32" s="2"/>
      <c r="J32" s="2"/>
      <c r="K32" s="2"/>
      <c r="L32" s="2"/>
      <c r="M32" s="2"/>
      <c r="N32" s="2"/>
      <c r="O32" s="2"/>
    </row>
    <row r="33" spans="1:15" ht="30" customHeight="1" x14ac:dyDescent="0.2">
      <c r="A33" s="379" t="s">
        <v>554</v>
      </c>
      <c r="B33" s="431"/>
      <c r="C33" s="29" t="s">
        <v>0</v>
      </c>
      <c r="D33" s="249" t="s">
        <v>518</v>
      </c>
      <c r="E33" s="2"/>
      <c r="F33" s="2"/>
      <c r="G33" s="2"/>
      <c r="H33" s="2"/>
      <c r="I33" s="2"/>
      <c r="J33" s="2"/>
      <c r="K33" s="2"/>
      <c r="L33" s="2"/>
      <c r="M33" s="2"/>
      <c r="N33" s="2"/>
      <c r="O33" s="2"/>
    </row>
    <row r="34" spans="1:15" ht="10.5" customHeight="1" x14ac:dyDescent="0.2">
      <c r="D34" s="101"/>
      <c r="E34" s="2"/>
      <c r="F34" s="2"/>
      <c r="G34" s="2"/>
      <c r="H34" s="2"/>
      <c r="I34" s="2"/>
      <c r="J34" s="2"/>
      <c r="K34" s="2"/>
      <c r="L34" s="2"/>
      <c r="M34" s="2"/>
      <c r="N34" s="2"/>
      <c r="O34" s="2"/>
    </row>
    <row r="35" spans="1:15" ht="19.5" customHeight="1" x14ac:dyDescent="0.2">
      <c r="A35" s="646" t="s">
        <v>531</v>
      </c>
      <c r="B35" s="646"/>
      <c r="C35" s="646"/>
      <c r="D35" s="647"/>
      <c r="E35" s="2"/>
      <c r="F35" s="2"/>
      <c r="G35" s="2"/>
      <c r="H35" s="2"/>
      <c r="I35" s="2"/>
      <c r="J35" s="2"/>
      <c r="K35" s="2"/>
      <c r="L35" s="2"/>
      <c r="M35" s="2"/>
      <c r="N35" s="2"/>
      <c r="O35" s="2"/>
    </row>
    <row r="36" spans="1:15" ht="9" customHeight="1" x14ac:dyDescent="0.2">
      <c r="A36" s="378"/>
      <c r="C36" s="113"/>
      <c r="D36" s="443"/>
      <c r="E36" s="2"/>
      <c r="F36" s="2"/>
      <c r="G36" s="2"/>
      <c r="H36" s="2"/>
      <c r="I36" s="2"/>
      <c r="J36" s="2"/>
      <c r="K36" s="2"/>
      <c r="L36" s="2"/>
      <c r="M36" s="2"/>
      <c r="N36" s="2"/>
      <c r="O36" s="2"/>
    </row>
    <row r="37" spans="1:15" ht="27" customHeight="1" x14ac:dyDescent="0.2">
      <c r="A37" s="440" t="s">
        <v>555</v>
      </c>
      <c r="B37" s="438"/>
      <c r="C37" s="441" t="s">
        <v>0</v>
      </c>
      <c r="D37" s="442" t="s">
        <v>577</v>
      </c>
      <c r="E37" s="2"/>
      <c r="F37" s="2"/>
      <c r="G37" s="2"/>
      <c r="H37" s="2"/>
      <c r="I37" s="2"/>
      <c r="J37" s="2"/>
      <c r="K37" s="2"/>
      <c r="L37" s="2"/>
      <c r="M37" s="2"/>
      <c r="N37" s="2"/>
      <c r="O37" s="2"/>
    </row>
    <row r="38" spans="1:15" ht="18.75" customHeight="1" x14ac:dyDescent="0.2">
      <c r="A38" s="605" t="s">
        <v>532</v>
      </c>
      <c r="B38" s="51"/>
      <c r="C38" s="23"/>
      <c r="D38" s="101"/>
      <c r="E38" s="2"/>
      <c r="F38" s="2"/>
      <c r="G38" s="2"/>
      <c r="H38" s="2"/>
      <c r="I38" s="2"/>
      <c r="J38" s="2"/>
      <c r="K38" s="2"/>
      <c r="L38" s="2"/>
      <c r="M38" s="2"/>
      <c r="N38" s="2"/>
      <c r="O38" s="2"/>
    </row>
    <row r="39" spans="1:15" ht="20.25" customHeight="1" x14ac:dyDescent="0.2">
      <c r="A39" s="432" t="s">
        <v>515</v>
      </c>
      <c r="B39" s="588">
        <v>0.01</v>
      </c>
      <c r="C39" s="234" t="s">
        <v>514</v>
      </c>
      <c r="D39" s="652" t="s">
        <v>519</v>
      </c>
      <c r="E39" s="2"/>
      <c r="F39" s="2"/>
      <c r="G39" s="2"/>
      <c r="H39" s="2"/>
      <c r="I39" s="2"/>
      <c r="J39" s="2"/>
      <c r="K39" s="2"/>
      <c r="L39" s="2"/>
      <c r="M39" s="2"/>
      <c r="N39" s="2"/>
      <c r="O39" s="2"/>
    </row>
    <row r="40" spans="1:15" ht="28.5" customHeight="1" x14ac:dyDescent="0.2">
      <c r="A40" s="589" t="s">
        <v>605</v>
      </c>
      <c r="B40" s="590">
        <v>0.75</v>
      </c>
      <c r="C40" s="591" t="s">
        <v>412</v>
      </c>
      <c r="D40" s="655"/>
      <c r="E40" s="2"/>
      <c r="F40" s="2"/>
      <c r="G40" s="2"/>
      <c r="H40" s="2"/>
      <c r="I40" s="2"/>
      <c r="J40" s="2"/>
      <c r="K40" s="2"/>
      <c r="L40" s="2"/>
      <c r="M40" s="2"/>
      <c r="N40" s="2"/>
      <c r="O40" s="2"/>
    </row>
    <row r="41" spans="1:15" ht="10.5" customHeight="1" x14ac:dyDescent="0.2">
      <c r="A41" s="592"/>
      <c r="B41" s="593"/>
      <c r="C41" s="30"/>
      <c r="D41" s="243"/>
      <c r="E41" s="2"/>
      <c r="F41" s="2"/>
      <c r="G41" s="2"/>
      <c r="H41" s="2"/>
      <c r="I41" s="2"/>
      <c r="J41" s="2"/>
      <c r="K41" s="2"/>
      <c r="L41" s="2"/>
      <c r="M41" s="2"/>
      <c r="N41" s="2"/>
      <c r="O41" s="2"/>
    </row>
    <row r="42" spans="1:15" ht="26.25" customHeight="1" x14ac:dyDescent="0.2">
      <c r="A42" s="398" t="s">
        <v>541</v>
      </c>
      <c r="B42" s="399"/>
      <c r="C42" s="399"/>
      <c r="D42" s="400"/>
      <c r="E42" s="2"/>
      <c r="F42" s="2"/>
      <c r="G42" s="2"/>
      <c r="H42" s="2"/>
      <c r="I42" s="2"/>
      <c r="J42" s="2"/>
      <c r="K42" s="2"/>
      <c r="L42" s="2"/>
      <c r="M42" s="2"/>
      <c r="N42" s="2"/>
      <c r="O42" s="2"/>
    </row>
    <row r="43" spans="1:15" ht="94.5" customHeight="1" x14ac:dyDescent="0.2">
      <c r="A43" s="241" t="s">
        <v>355</v>
      </c>
      <c r="B43" s="283"/>
      <c r="C43" s="234" t="s">
        <v>243</v>
      </c>
      <c r="D43" s="238" t="s">
        <v>570</v>
      </c>
      <c r="E43" s="2"/>
      <c r="F43" s="2"/>
      <c r="G43" s="2"/>
      <c r="H43" s="2"/>
      <c r="I43" s="2"/>
      <c r="J43" s="2"/>
      <c r="K43" s="2"/>
      <c r="L43" s="2"/>
      <c r="M43" s="2"/>
      <c r="N43" s="2"/>
      <c r="O43" s="2"/>
    </row>
    <row r="44" spans="1:15" ht="28.5" customHeight="1" x14ac:dyDescent="0.2">
      <c r="A44" s="22" t="s">
        <v>512</v>
      </c>
      <c r="B44" s="284">
        <v>595</v>
      </c>
      <c r="C44" s="23" t="s">
        <v>21</v>
      </c>
      <c r="D44" s="227" t="s">
        <v>571</v>
      </c>
      <c r="E44" s="225"/>
      <c r="F44" s="225"/>
      <c r="G44" s="225"/>
      <c r="H44" s="2"/>
      <c r="I44" s="2"/>
      <c r="J44" s="2"/>
      <c r="K44" s="2"/>
      <c r="L44" s="2"/>
      <c r="M44" s="2"/>
      <c r="N44" s="2"/>
      <c r="O44" s="2"/>
    </row>
    <row r="45" spans="1:15" ht="71.25" customHeight="1" x14ac:dyDescent="0.2">
      <c r="A45" s="22" t="s">
        <v>8</v>
      </c>
      <c r="B45" s="285">
        <v>0.7</v>
      </c>
      <c r="C45" s="23" t="s">
        <v>27</v>
      </c>
      <c r="D45" s="153" t="s">
        <v>572</v>
      </c>
      <c r="E45" s="2"/>
      <c r="F45" s="2"/>
      <c r="G45" s="2"/>
      <c r="H45" s="2"/>
      <c r="I45" s="2"/>
      <c r="J45" s="2"/>
      <c r="K45" s="2"/>
      <c r="L45" s="2"/>
      <c r="M45" s="2"/>
      <c r="N45" s="2"/>
      <c r="O45" s="2"/>
    </row>
    <row r="46" spans="1:15" ht="29.25" customHeight="1" x14ac:dyDescent="0.2">
      <c r="A46" s="26" t="s">
        <v>511</v>
      </c>
      <c r="B46" s="286">
        <v>5946</v>
      </c>
      <c r="C46" s="23" t="s">
        <v>415</v>
      </c>
      <c r="D46" s="153" t="s">
        <v>507</v>
      </c>
      <c r="E46" s="226"/>
      <c r="F46" s="226"/>
      <c r="G46" s="226"/>
      <c r="H46" s="2"/>
      <c r="I46" s="2"/>
      <c r="J46" s="2"/>
      <c r="K46" s="2"/>
      <c r="L46" s="2"/>
      <c r="M46" s="2"/>
      <c r="N46" s="2"/>
      <c r="O46" s="2"/>
    </row>
    <row r="47" spans="1:15" ht="29.25" customHeight="1" x14ac:dyDescent="0.2">
      <c r="A47" s="22" t="s">
        <v>601</v>
      </c>
      <c r="B47" s="586">
        <v>2330</v>
      </c>
      <c r="C47" s="23" t="s">
        <v>415</v>
      </c>
      <c r="D47" s="153" t="s">
        <v>520</v>
      </c>
      <c r="E47" s="226"/>
      <c r="F47" s="226"/>
      <c r="G47" s="226"/>
      <c r="H47" s="2"/>
      <c r="I47" s="2"/>
      <c r="J47" s="2"/>
      <c r="K47" s="2"/>
      <c r="L47" s="2"/>
      <c r="M47" s="2"/>
      <c r="N47" s="2"/>
      <c r="O47" s="2"/>
    </row>
    <row r="48" spans="1:15" ht="44.25" customHeight="1" x14ac:dyDescent="0.2">
      <c r="A48" s="239" t="s">
        <v>358</v>
      </c>
      <c r="B48" s="437">
        <v>1093</v>
      </c>
      <c r="C48" s="29" t="s">
        <v>3</v>
      </c>
      <c r="D48" s="242" t="s">
        <v>377</v>
      </c>
      <c r="E48" s="2"/>
      <c r="F48" s="2"/>
      <c r="G48" s="2"/>
      <c r="H48" s="2"/>
      <c r="I48" s="2"/>
      <c r="J48" s="2"/>
      <c r="K48" s="2"/>
      <c r="L48" s="2"/>
      <c r="M48" s="2"/>
      <c r="N48" s="2"/>
      <c r="O48" s="2"/>
    </row>
    <row r="49" spans="1:15" ht="20.25" customHeight="1" x14ac:dyDescent="0.2">
      <c r="A49" s="630" t="s">
        <v>614</v>
      </c>
      <c r="B49" s="196"/>
      <c r="C49" s="196"/>
      <c r="D49" s="200"/>
      <c r="E49" s="2"/>
      <c r="F49" s="2"/>
      <c r="G49" s="2"/>
      <c r="H49" s="2"/>
      <c r="I49" s="2"/>
      <c r="J49" s="2"/>
      <c r="K49" s="2"/>
      <c r="L49" s="2"/>
      <c r="M49" s="2"/>
      <c r="N49" s="2"/>
      <c r="O49" s="2"/>
    </row>
    <row r="50" spans="1:15" ht="26.25" customHeight="1" x14ac:dyDescent="0.2">
      <c r="A50" s="396" t="s">
        <v>399</v>
      </c>
      <c r="B50" s="21"/>
      <c r="C50" s="21"/>
      <c r="D50" s="397"/>
      <c r="E50" s="2"/>
      <c r="F50" s="2"/>
      <c r="G50" s="2"/>
      <c r="H50" s="2"/>
      <c r="I50" s="2"/>
      <c r="J50" s="2"/>
      <c r="K50" s="2"/>
      <c r="L50" s="2"/>
      <c r="M50" s="2"/>
      <c r="N50" s="2"/>
      <c r="O50" s="2"/>
    </row>
    <row r="51" spans="1:15" ht="57" customHeight="1" x14ac:dyDescent="0.2">
      <c r="A51" s="631" t="s">
        <v>573</v>
      </c>
      <c r="B51" s="632"/>
      <c r="C51" s="632"/>
      <c r="D51" s="633"/>
      <c r="E51" s="2"/>
      <c r="F51" s="2"/>
      <c r="G51" s="2"/>
      <c r="H51" s="2"/>
      <c r="I51" s="2"/>
      <c r="J51" s="2"/>
      <c r="K51" s="2"/>
      <c r="L51" s="2"/>
      <c r="M51" s="2"/>
      <c r="N51" s="2"/>
      <c r="O51" s="2"/>
    </row>
    <row r="52" spans="1:15" ht="18" customHeight="1" x14ac:dyDescent="0.2">
      <c r="A52" s="247" t="s">
        <v>510</v>
      </c>
      <c r="B52" s="380">
        <v>3.5000000000000003E-2</v>
      </c>
      <c r="C52" s="234" t="s">
        <v>2</v>
      </c>
      <c r="D52" s="248" t="s">
        <v>375</v>
      </c>
      <c r="E52" s="2"/>
      <c r="F52" s="2"/>
      <c r="G52" s="2"/>
      <c r="H52" s="2"/>
      <c r="I52" s="2"/>
      <c r="J52" s="2"/>
      <c r="K52" s="2"/>
      <c r="L52" s="2"/>
      <c r="M52" s="2"/>
      <c r="N52" s="2"/>
      <c r="O52" s="2"/>
    </row>
    <row r="53" spans="1:15" ht="18" customHeight="1" x14ac:dyDescent="0.2">
      <c r="A53" s="22" t="s">
        <v>18</v>
      </c>
      <c r="B53" s="380">
        <v>5.8999999999999997E-2</v>
      </c>
      <c r="C53" s="23" t="s">
        <v>67</v>
      </c>
      <c r="D53" s="228" t="s">
        <v>574</v>
      </c>
      <c r="E53" s="2"/>
      <c r="F53" s="2"/>
      <c r="G53" s="2"/>
      <c r="H53" s="2"/>
      <c r="I53" s="2"/>
      <c r="J53" s="2"/>
      <c r="K53" s="2"/>
      <c r="L53" s="2"/>
      <c r="M53" s="2"/>
      <c r="N53" s="2"/>
      <c r="O53" s="2"/>
    </row>
    <row r="54" spans="1:15" ht="42.75" customHeight="1" x14ac:dyDescent="0.2">
      <c r="A54" s="28" t="s">
        <v>513</v>
      </c>
      <c r="B54" s="381">
        <v>30</v>
      </c>
      <c r="C54" s="29" t="s">
        <v>4</v>
      </c>
      <c r="D54" s="287" t="s">
        <v>533</v>
      </c>
      <c r="E54" s="2"/>
      <c r="F54" s="2"/>
      <c r="G54" s="2"/>
      <c r="H54" s="2"/>
      <c r="I54" s="2"/>
      <c r="J54" s="2"/>
      <c r="K54" s="2"/>
      <c r="L54" s="2"/>
      <c r="M54" s="2"/>
      <c r="N54" s="2"/>
      <c r="O54" s="2"/>
    </row>
    <row r="55" spans="1:15" ht="10.5" customHeight="1" thickBot="1" x14ac:dyDescent="0.25">
      <c r="A55" s="244"/>
      <c r="B55" s="245"/>
      <c r="C55" s="245"/>
      <c r="D55" s="246"/>
    </row>
  </sheetData>
  <mergeCells count="11">
    <mergeCell ref="A51:D51"/>
    <mergeCell ref="A1:D1"/>
    <mergeCell ref="A15:D15"/>
    <mergeCell ref="A16:D16"/>
    <mergeCell ref="A8:D8"/>
    <mergeCell ref="A35:D35"/>
    <mergeCell ref="A19:D19"/>
    <mergeCell ref="A23:D23"/>
    <mergeCell ref="A2:D2"/>
    <mergeCell ref="D25:D31"/>
    <mergeCell ref="D39:D40"/>
  </mergeCells>
  <pageMargins left="0.7" right="0.7" top="0.75" bottom="0.75" header="0.3" footer="0.3"/>
  <pageSetup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40880-462B-40DD-B0C5-840946225AEB}">
  <dimension ref="A1:AU2621"/>
  <sheetViews>
    <sheetView zoomScaleNormal="100" workbookViewId="0">
      <pane ySplit="7" topLeftCell="A66" activePane="bottomLeft" state="frozen"/>
      <selection pane="bottomLeft" activeCell="J70" sqref="J70"/>
    </sheetView>
  </sheetViews>
  <sheetFormatPr defaultRowHeight="14.25" x14ac:dyDescent="0.2"/>
  <cols>
    <col min="1" max="1" width="44.42578125" style="2" customWidth="1"/>
    <col min="2" max="2" width="22.5703125" style="2" customWidth="1"/>
    <col min="3" max="3" width="39.5703125" style="2" customWidth="1"/>
    <col min="4" max="4" width="25.5703125" style="2" customWidth="1"/>
    <col min="5" max="5" width="20.5703125" style="2" customWidth="1"/>
    <col min="6" max="7" width="19.28515625" style="2" customWidth="1"/>
    <col min="8" max="8" width="23.28515625" style="2" customWidth="1"/>
    <col min="9" max="10" width="26" style="2" customWidth="1"/>
    <col min="11" max="15" width="20.5703125" style="2" customWidth="1"/>
    <col min="16" max="16" width="28.7109375" style="2" customWidth="1"/>
    <col min="17" max="18" width="20.5703125" style="2" customWidth="1"/>
    <col min="19" max="19" width="17.5703125" style="2" customWidth="1"/>
    <col min="20" max="20" width="24.85546875" style="2" customWidth="1"/>
    <col min="21" max="21" width="7.28515625" style="2" customWidth="1"/>
    <col min="22" max="22" width="15.7109375" style="165" customWidth="1"/>
    <col min="23" max="23" width="7" style="165" customWidth="1"/>
    <col min="24" max="24" width="7.5703125" style="165" customWidth="1"/>
    <col min="25" max="25" width="29.140625" style="165" customWidth="1"/>
    <col min="26" max="26" width="4.85546875" style="165" customWidth="1"/>
    <col min="27" max="27" width="15.42578125" style="2" customWidth="1"/>
    <col min="28" max="28" width="18.42578125" style="2" customWidth="1"/>
    <col min="29" max="29" width="29.42578125" style="2" customWidth="1"/>
    <col min="30" max="30" width="14.42578125" style="2" customWidth="1"/>
    <col min="31" max="31" width="10.42578125" style="2" customWidth="1"/>
    <col min="32" max="36" width="9.140625" style="2"/>
    <col min="37" max="37" width="9.5703125" style="2" bestFit="1" customWidth="1"/>
    <col min="38" max="49" width="9.140625" style="2"/>
    <col min="50" max="50" width="12.28515625" style="2" customWidth="1"/>
    <col min="51" max="51" width="11.28515625" style="2" customWidth="1"/>
    <col min="52" max="16384" width="9.140625" style="2"/>
  </cols>
  <sheetData>
    <row r="1" spans="1:44" ht="20.25" x14ac:dyDescent="0.2">
      <c r="A1" s="634" t="s">
        <v>536</v>
      </c>
      <c r="B1" s="635"/>
      <c r="C1" s="635"/>
      <c r="D1" s="635"/>
      <c r="E1" s="635"/>
      <c r="F1" s="635"/>
      <c r="G1" s="636"/>
    </row>
    <row r="2" spans="1:44" ht="15" x14ac:dyDescent="0.25">
      <c r="A2" s="401" t="s">
        <v>75</v>
      </c>
      <c r="D2" s="191"/>
      <c r="G2" s="36"/>
      <c r="V2" s="2"/>
    </row>
    <row r="3" spans="1:44" x14ac:dyDescent="0.2">
      <c r="A3" s="402" t="s">
        <v>379</v>
      </c>
      <c r="B3" s="30"/>
      <c r="C3" s="30"/>
      <c r="D3" s="375"/>
      <c r="E3" s="375"/>
      <c r="F3" s="375"/>
      <c r="G3" s="403"/>
      <c r="V3" s="2"/>
    </row>
    <row r="4" spans="1:44" x14ac:dyDescent="0.2">
      <c r="A4" s="402" t="s">
        <v>521</v>
      </c>
      <c r="B4" s="30"/>
      <c r="C4" s="30"/>
      <c r="D4" s="375"/>
      <c r="E4" s="375"/>
      <c r="F4" s="375"/>
      <c r="G4" s="403"/>
      <c r="V4" s="2"/>
    </row>
    <row r="5" spans="1:44" x14ac:dyDescent="0.2">
      <c r="A5" s="402" t="s">
        <v>76</v>
      </c>
      <c r="B5" s="30"/>
      <c r="C5" s="30"/>
      <c r="D5" s="375"/>
      <c r="E5" s="375"/>
      <c r="F5" s="375"/>
      <c r="G5" s="403"/>
      <c r="V5" s="2"/>
    </row>
    <row r="6" spans="1:44" x14ac:dyDescent="0.2">
      <c r="A6" s="402" t="s">
        <v>77</v>
      </c>
      <c r="B6" s="30"/>
      <c r="C6" s="30"/>
      <c r="D6" s="375"/>
      <c r="E6" s="375"/>
      <c r="F6" s="375"/>
      <c r="G6" s="403"/>
      <c r="H6" s="187"/>
      <c r="V6" s="2"/>
    </row>
    <row r="7" spans="1:44" x14ac:dyDescent="0.2">
      <c r="A7" s="229"/>
      <c r="B7" s="25"/>
      <c r="C7" s="30"/>
      <c r="D7" s="30"/>
      <c r="E7" s="30"/>
      <c r="G7" s="36"/>
      <c r="V7" s="2"/>
    </row>
    <row r="8" spans="1:44" s="166" customFormat="1" ht="21.75" customHeight="1" x14ac:dyDescent="0.25">
      <c r="A8" s="404" t="s">
        <v>73</v>
      </c>
      <c r="B8" s="405" t="s">
        <v>22</v>
      </c>
      <c r="C8" s="405" t="s">
        <v>49</v>
      </c>
      <c r="D8" s="659" t="s">
        <v>74</v>
      </c>
      <c r="E8" s="659"/>
      <c r="F8" s="659"/>
      <c r="G8" s="660"/>
    </row>
    <row r="9" spans="1:44" s="166" customFormat="1" ht="20.25" customHeight="1" x14ac:dyDescent="0.25">
      <c r="A9" s="664" t="s">
        <v>24</v>
      </c>
      <c r="B9" s="665"/>
      <c r="C9" s="665"/>
      <c r="D9" s="665"/>
      <c r="E9" s="665"/>
      <c r="F9" s="665"/>
      <c r="G9" s="666"/>
      <c r="T9" s="167"/>
      <c r="U9" s="167"/>
      <c r="AF9" s="168"/>
      <c r="AG9" s="168"/>
      <c r="AH9" s="168"/>
      <c r="AI9" s="168"/>
      <c r="AJ9" s="168"/>
      <c r="AK9" s="168"/>
      <c r="AL9" s="168"/>
      <c r="AM9" s="168"/>
      <c r="AN9" s="168"/>
      <c r="AO9" s="168"/>
      <c r="AP9" s="168"/>
      <c r="AQ9" s="168"/>
      <c r="AR9" s="168"/>
    </row>
    <row r="10" spans="1:44" s="113" customFormat="1" ht="18.75" customHeight="1" x14ac:dyDescent="0.25">
      <c r="A10" s="232" t="s">
        <v>552</v>
      </c>
      <c r="B10" s="382">
        <f>Inputs!B9</f>
        <v>10171</v>
      </c>
      <c r="C10" s="23" t="s">
        <v>0</v>
      </c>
      <c r="D10" s="235" t="s">
        <v>517</v>
      </c>
      <c r="E10" s="192"/>
      <c r="F10" s="192"/>
      <c r="G10" s="212"/>
      <c r="T10" s="169"/>
      <c r="U10" s="169"/>
      <c r="AF10" s="170"/>
      <c r="AG10" s="170"/>
      <c r="AH10" s="170"/>
      <c r="AI10" s="170"/>
      <c r="AJ10" s="170"/>
      <c r="AK10" s="170"/>
      <c r="AL10" s="170"/>
      <c r="AM10" s="170"/>
      <c r="AN10" s="170"/>
      <c r="AO10" s="170"/>
      <c r="AP10" s="170"/>
      <c r="AQ10" s="170"/>
      <c r="AR10" s="170"/>
    </row>
    <row r="11" spans="1:44" s="113" customFormat="1" ht="18.75" customHeight="1" x14ac:dyDescent="0.2">
      <c r="A11" s="22" t="s">
        <v>559</v>
      </c>
      <c r="B11" s="383">
        <f>Inputs!B10</f>
        <v>3347</v>
      </c>
      <c r="C11" s="23" t="s">
        <v>1</v>
      </c>
      <c r="D11" s="235" t="s">
        <v>517</v>
      </c>
      <c r="E11" s="196"/>
      <c r="F11" s="196"/>
      <c r="G11" s="200"/>
    </row>
    <row r="12" spans="1:44" s="113" customFormat="1" ht="42" customHeight="1" x14ac:dyDescent="0.2">
      <c r="A12" s="24" t="s">
        <v>560</v>
      </c>
      <c r="B12" s="384">
        <f>IF(Inputs!B18="",4*B14*365/325851,Inputs!B18*B14*365/325851)</f>
        <v>1274.2711852963471</v>
      </c>
      <c r="C12" s="100" t="s">
        <v>0</v>
      </c>
      <c r="D12" s="670" t="s">
        <v>380</v>
      </c>
      <c r="E12" s="671"/>
      <c r="F12" s="671"/>
      <c r="G12" s="672"/>
    </row>
    <row r="13" spans="1:44" s="113" customFormat="1" ht="18.75" customHeight="1" x14ac:dyDescent="0.2">
      <c r="A13" s="22" t="s">
        <v>561</v>
      </c>
      <c r="B13" s="385">
        <f>Inputs!B13</f>
        <v>95</v>
      </c>
      <c r="C13" s="25" t="s">
        <v>80</v>
      </c>
      <c r="D13" s="235" t="s">
        <v>517</v>
      </c>
      <c r="E13" s="196"/>
      <c r="F13" s="196"/>
      <c r="G13" s="200"/>
    </row>
    <row r="14" spans="1:44" s="113" customFormat="1" ht="18.75" customHeight="1" x14ac:dyDescent="0.2">
      <c r="A14" s="239" t="s">
        <v>79</v>
      </c>
      <c r="B14" s="386">
        <f>Inputs!B11</f>
        <v>284399</v>
      </c>
      <c r="C14" s="55" t="s">
        <v>9</v>
      </c>
      <c r="D14" s="346" t="s">
        <v>517</v>
      </c>
      <c r="E14" s="196"/>
      <c r="F14" s="196"/>
      <c r="G14" s="200"/>
    </row>
    <row r="15" spans="1:44" s="113" customFormat="1" ht="12" customHeight="1" x14ac:dyDescent="0.2">
      <c r="A15" s="34"/>
      <c r="B15" s="35"/>
      <c r="C15" s="2"/>
      <c r="D15" s="2"/>
      <c r="E15" s="2"/>
      <c r="F15" s="2"/>
      <c r="G15" s="36"/>
    </row>
    <row r="16" spans="1:44" s="113" customFormat="1" ht="18.75" customHeight="1" x14ac:dyDescent="0.2">
      <c r="A16" s="664" t="s">
        <v>71</v>
      </c>
      <c r="B16" s="665"/>
      <c r="C16" s="665"/>
      <c r="D16" s="665"/>
      <c r="E16" s="665"/>
      <c r="F16" s="665"/>
      <c r="G16" s="666"/>
    </row>
    <row r="17" spans="1:21" s="113" customFormat="1" ht="54" customHeight="1" x14ac:dyDescent="0.2">
      <c r="A17" s="661" t="s">
        <v>522</v>
      </c>
      <c r="B17" s="662"/>
      <c r="C17" s="662"/>
      <c r="D17" s="662"/>
      <c r="E17" s="662"/>
      <c r="F17" s="662"/>
      <c r="G17" s="663"/>
    </row>
    <row r="18" spans="1:21" s="113" customFormat="1" ht="21" customHeight="1" x14ac:dyDescent="0.2">
      <c r="A18" s="24" t="s">
        <v>52</v>
      </c>
      <c r="B18" s="387">
        <f>Inputs!B20</f>
        <v>1</v>
      </c>
      <c r="C18" s="23"/>
      <c r="D18" s="673" t="s">
        <v>403</v>
      </c>
      <c r="E18" s="674"/>
      <c r="F18" s="674"/>
      <c r="G18" s="675"/>
    </row>
    <row r="19" spans="1:21" s="113" customFormat="1" ht="22.5" customHeight="1" x14ac:dyDescent="0.2">
      <c r="A19" s="379" t="s">
        <v>598</v>
      </c>
      <c r="B19" s="27">
        <f>IF(Inputs!B22="",B18*((0.2*B11+0.008*B14)*(B13/70)^1.5)*1000*365/325851,Inputs!B22)</f>
        <v>5214.7954998394134</v>
      </c>
      <c r="C19" s="23" t="s">
        <v>0</v>
      </c>
      <c r="D19" s="202" t="s">
        <v>381</v>
      </c>
      <c r="E19" s="196"/>
      <c r="F19" s="196"/>
      <c r="G19" s="200"/>
      <c r="T19" s="171"/>
      <c r="U19" s="171"/>
    </row>
    <row r="20" spans="1:21" s="113" customFormat="1" ht="21.75" customHeight="1" x14ac:dyDescent="0.2">
      <c r="A20" s="378" t="s">
        <v>599</v>
      </c>
      <c r="B20" s="27">
        <f>Inputs!B26</f>
        <v>0.2</v>
      </c>
      <c r="C20" s="23" t="s">
        <v>68</v>
      </c>
      <c r="D20" s="667" t="s">
        <v>523</v>
      </c>
      <c r="E20" s="668"/>
      <c r="F20" s="668"/>
      <c r="G20" s="669"/>
      <c r="T20" s="171"/>
      <c r="U20" s="171"/>
    </row>
    <row r="21" spans="1:21" s="113" customFormat="1" ht="25.5" x14ac:dyDescent="0.2">
      <c r="A21" s="432" t="s">
        <v>568</v>
      </c>
      <c r="B21" s="27">
        <f>Inputs!B25</f>
        <v>3</v>
      </c>
      <c r="C21" s="23" t="s">
        <v>20</v>
      </c>
      <c r="D21" s="667"/>
      <c r="E21" s="668"/>
      <c r="F21" s="668"/>
      <c r="G21" s="669"/>
      <c r="T21" s="171"/>
      <c r="U21" s="171"/>
    </row>
    <row r="22" spans="1:21" s="113" customFormat="1" ht="18.75" customHeight="1" x14ac:dyDescent="0.2">
      <c r="A22" s="379" t="s">
        <v>569</v>
      </c>
      <c r="B22" s="27">
        <f>Inputs!B27*B13/70</f>
        <v>67.857142857142861</v>
      </c>
      <c r="C22" s="23" t="s">
        <v>69</v>
      </c>
      <c r="D22" s="667"/>
      <c r="E22" s="668"/>
      <c r="F22" s="668"/>
      <c r="G22" s="669"/>
      <c r="T22" s="171"/>
      <c r="U22" s="171"/>
    </row>
    <row r="23" spans="1:21" s="113" customFormat="1" ht="18.75" customHeight="1" x14ac:dyDescent="0.2">
      <c r="A23" s="305" t="s">
        <v>413</v>
      </c>
      <c r="B23" s="434">
        <f>B20*B11*B22*(B13/70)*B21*60*24/325851</f>
        <v>817.28124266637735</v>
      </c>
      <c r="C23" s="435" t="s">
        <v>0</v>
      </c>
      <c r="D23" s="369"/>
      <c r="E23" s="370"/>
      <c r="F23" s="370"/>
      <c r="G23" s="371"/>
      <c r="T23" s="171"/>
      <c r="U23" s="171"/>
    </row>
    <row r="24" spans="1:21" s="113" customFormat="1" ht="31.5" customHeight="1" x14ac:dyDescent="0.2">
      <c r="A24" s="432" t="s">
        <v>568</v>
      </c>
      <c r="B24" s="27">
        <v>8</v>
      </c>
      <c r="C24" s="234" t="s">
        <v>20</v>
      </c>
      <c r="D24" s="667" t="s">
        <v>524</v>
      </c>
      <c r="E24" s="668"/>
      <c r="F24" s="668"/>
      <c r="G24" s="669"/>
      <c r="T24" s="171"/>
      <c r="U24" s="171"/>
    </row>
    <row r="25" spans="1:21" s="113" customFormat="1" ht="27.75" customHeight="1" x14ac:dyDescent="0.2">
      <c r="A25" s="378" t="s">
        <v>600</v>
      </c>
      <c r="B25" s="27">
        <v>2.25</v>
      </c>
      <c r="C25" s="23" t="s">
        <v>410</v>
      </c>
      <c r="D25" s="667"/>
      <c r="E25" s="668"/>
      <c r="F25" s="668"/>
      <c r="G25" s="669"/>
      <c r="T25" s="171"/>
      <c r="U25" s="171"/>
    </row>
    <row r="26" spans="1:21" s="113" customFormat="1" ht="18.75" customHeight="1" x14ac:dyDescent="0.2">
      <c r="A26" s="379" t="s">
        <v>569</v>
      </c>
      <c r="B26" s="27">
        <f>7*B13/70</f>
        <v>9.5</v>
      </c>
      <c r="C26" s="29" t="s">
        <v>69</v>
      </c>
      <c r="D26" s="667"/>
      <c r="E26" s="668"/>
      <c r="F26" s="668"/>
      <c r="G26" s="669"/>
      <c r="T26" s="171"/>
      <c r="U26" s="171"/>
    </row>
    <row r="27" spans="1:21" s="113" customFormat="1" ht="31.5" customHeight="1" x14ac:dyDescent="0.2">
      <c r="A27" s="305" t="s">
        <v>414</v>
      </c>
      <c r="B27" s="434">
        <f>B25*B14/1000*B26*(B13/70)*B24*60*24/325851</f>
        <v>291.67094895695095</v>
      </c>
      <c r="C27" s="435" t="s">
        <v>0</v>
      </c>
      <c r="D27" s="369"/>
      <c r="E27" s="370"/>
      <c r="F27" s="370"/>
      <c r="G27" s="371"/>
      <c r="T27" s="171"/>
      <c r="U27" s="171"/>
    </row>
    <row r="28" spans="1:21" s="113" customFormat="1" ht="21" customHeight="1" x14ac:dyDescent="0.2">
      <c r="A28" s="24" t="s">
        <v>579</v>
      </c>
      <c r="B28" s="27">
        <f>IF(Inputs!B33="",SUM(B23,B27),Inputs!B33)</f>
        <v>1108.9521916233284</v>
      </c>
      <c r="C28" s="23" t="s">
        <v>0</v>
      </c>
      <c r="D28" s="204" t="s">
        <v>70</v>
      </c>
      <c r="E28" s="196"/>
      <c r="F28" s="196"/>
      <c r="G28" s="200"/>
      <c r="T28" s="171"/>
      <c r="U28" s="171"/>
    </row>
    <row r="29" spans="1:21" s="113" customFormat="1" ht="21.75" customHeight="1" x14ac:dyDescent="0.2">
      <c r="A29" s="210" t="s">
        <v>578</v>
      </c>
      <c r="B29" s="211">
        <f>IF(Inputs!B37="",IF((B10-B19-B28)&lt;0,0,B10-B19-B28),Inputs!B37)</f>
        <v>3847.2523085372582</v>
      </c>
      <c r="C29" s="29" t="s">
        <v>0</v>
      </c>
      <c r="D29" s="667" t="s">
        <v>282</v>
      </c>
      <c r="E29" s="668"/>
      <c r="F29" s="668"/>
      <c r="G29" s="669"/>
      <c r="T29" s="171"/>
      <c r="U29" s="171"/>
    </row>
    <row r="30" spans="1:21" s="113" customFormat="1" ht="18.75" customHeight="1" x14ac:dyDescent="0.2">
      <c r="A30" s="50" t="s">
        <v>578</v>
      </c>
      <c r="B30" s="51">
        <f>B29*325851</f>
        <v>1253631011.9891741</v>
      </c>
      <c r="C30" s="30" t="s">
        <v>516</v>
      </c>
      <c r="D30" s="30"/>
      <c r="E30" s="30"/>
      <c r="F30" s="30"/>
      <c r="G30" s="52"/>
      <c r="T30" s="171"/>
      <c r="U30" s="171"/>
    </row>
    <row r="31" spans="1:21" s="113" customFormat="1" ht="18.75" customHeight="1" x14ac:dyDescent="0.2">
      <c r="A31" s="664" t="s">
        <v>332</v>
      </c>
      <c r="B31" s="665"/>
      <c r="C31" s="665"/>
      <c r="D31" s="665"/>
      <c r="E31" s="665"/>
      <c r="F31" s="665"/>
      <c r="G31" s="666"/>
      <c r="T31" s="171"/>
      <c r="U31" s="171"/>
    </row>
    <row r="32" spans="1:21" s="113" customFormat="1" ht="18.75" customHeight="1" x14ac:dyDescent="0.2">
      <c r="A32" s="24" t="s">
        <v>51</v>
      </c>
      <c r="B32" s="53">
        <f>B29/SUM(B29,B19,B28)</f>
        <v>0.37825703554589107</v>
      </c>
      <c r="C32" s="23" t="s">
        <v>15</v>
      </c>
      <c r="D32" s="213" t="s">
        <v>525</v>
      </c>
      <c r="E32" s="214"/>
      <c r="F32" s="214"/>
      <c r="G32" s="215"/>
      <c r="T32" s="171"/>
      <c r="U32" s="171"/>
    </row>
    <row r="33" spans="1:24" s="113" customFormat="1" ht="29.25" customHeight="1" x14ac:dyDescent="0.2">
      <c r="A33" s="24" t="s">
        <v>65</v>
      </c>
      <c r="B33" s="27">
        <f>IF(B34=0.01,25*B13/70,B30/B35/365/24/60)</f>
        <v>33.928571428571431</v>
      </c>
      <c r="C33" s="25" t="s">
        <v>69</v>
      </c>
      <c r="D33" s="690" t="s">
        <v>526</v>
      </c>
      <c r="E33" s="691"/>
      <c r="F33" s="691"/>
      <c r="G33" s="692"/>
      <c r="T33" s="171"/>
      <c r="U33" s="171"/>
    </row>
    <row r="34" spans="1:24" s="113" customFormat="1" ht="29.25" customHeight="1" x14ac:dyDescent="0.2">
      <c r="A34" s="24" t="s">
        <v>411</v>
      </c>
      <c r="B34" s="261">
        <f>IF(Inputs!B39="",0.01,Inputs!B39)</f>
        <v>0.01</v>
      </c>
      <c r="C34" s="25" t="s">
        <v>61</v>
      </c>
      <c r="D34" s="693"/>
      <c r="E34" s="694"/>
      <c r="F34" s="694"/>
      <c r="G34" s="695"/>
      <c r="T34" s="171"/>
      <c r="U34" s="171"/>
    </row>
    <row r="35" spans="1:24" s="113" customFormat="1" ht="29.25" customHeight="1" x14ac:dyDescent="0.2">
      <c r="A35" s="24" t="s">
        <v>416</v>
      </c>
      <c r="B35" s="261">
        <f>B11*B34</f>
        <v>33.47</v>
      </c>
      <c r="C35" s="25"/>
      <c r="D35" s="369"/>
      <c r="E35" s="370"/>
      <c r="F35" s="370"/>
      <c r="G35" s="371"/>
      <c r="T35" s="171"/>
      <c r="U35" s="171"/>
    </row>
    <row r="36" spans="1:24" s="113" customFormat="1" ht="29.25" customHeight="1" x14ac:dyDescent="0.2">
      <c r="A36" s="439" t="s">
        <v>65</v>
      </c>
      <c r="B36" s="261">
        <f>7*B13/70</f>
        <v>9.5</v>
      </c>
      <c r="C36" s="25" t="s">
        <v>69</v>
      </c>
      <c r="D36" s="690" t="s">
        <v>527</v>
      </c>
      <c r="E36" s="691"/>
      <c r="F36" s="691"/>
      <c r="G36" s="692"/>
      <c r="T36" s="171"/>
      <c r="U36" s="171"/>
    </row>
    <row r="37" spans="1:24" s="113" customFormat="1" ht="29.25" customHeight="1" x14ac:dyDescent="0.2">
      <c r="A37" s="24" t="s">
        <v>417</v>
      </c>
      <c r="B37" s="261">
        <f>IF(Inputs!B40="",0.75,Inputs!B40)</f>
        <v>0.75</v>
      </c>
      <c r="C37" s="25" t="s">
        <v>412</v>
      </c>
      <c r="D37" s="693"/>
      <c r="E37" s="694"/>
      <c r="F37" s="694"/>
      <c r="G37" s="695"/>
      <c r="T37" s="171"/>
      <c r="U37" s="171"/>
    </row>
    <row r="38" spans="1:24" s="113" customFormat="1" ht="29.25" customHeight="1" x14ac:dyDescent="0.2">
      <c r="A38" s="28" t="s">
        <v>418</v>
      </c>
      <c r="B38" s="594">
        <f>B37*B14/1000</f>
        <v>213.29925</v>
      </c>
      <c r="C38" s="55"/>
      <c r="D38" s="587"/>
      <c r="E38" s="370"/>
      <c r="F38" s="370"/>
      <c r="G38" s="371"/>
      <c r="T38" s="171"/>
      <c r="U38" s="171"/>
    </row>
    <row r="39" spans="1:24" s="113" customFormat="1" ht="12" customHeight="1" x14ac:dyDescent="0.2">
      <c r="A39" s="34"/>
      <c r="B39" s="35"/>
      <c r="C39" s="2"/>
      <c r="D39" s="37"/>
      <c r="E39" s="2"/>
      <c r="F39" s="2"/>
      <c r="G39" s="36"/>
      <c r="H39" s="2"/>
      <c r="I39" s="2"/>
      <c r="J39" s="2"/>
      <c r="K39" s="2"/>
      <c r="L39" s="2"/>
      <c r="M39" s="2"/>
      <c r="N39" s="2"/>
      <c r="O39" s="2"/>
      <c r="P39" s="2"/>
      <c r="Q39" s="2"/>
      <c r="R39" s="2"/>
      <c r="S39" s="2"/>
      <c r="T39" s="171"/>
      <c r="U39" s="171"/>
      <c r="V39" s="2"/>
      <c r="W39" s="2"/>
      <c r="X39" s="2"/>
    </row>
    <row r="40" spans="1:24" s="166" customFormat="1" ht="18.75" customHeight="1" x14ac:dyDescent="0.25">
      <c r="A40" s="676" t="s">
        <v>64</v>
      </c>
      <c r="B40" s="677"/>
      <c r="C40" s="677"/>
      <c r="D40" s="677"/>
      <c r="E40" s="677"/>
      <c r="F40" s="677"/>
      <c r="G40" s="678"/>
      <c r="H40" s="32"/>
      <c r="I40" s="32"/>
      <c r="J40" s="32"/>
      <c r="K40" s="32"/>
      <c r="L40" s="32"/>
      <c r="M40" s="32"/>
      <c r="N40" s="32"/>
      <c r="O40" s="32"/>
      <c r="P40" s="32"/>
      <c r="Q40" s="32"/>
      <c r="R40" s="32"/>
      <c r="S40" s="32"/>
      <c r="T40" s="172"/>
      <c r="U40" s="172"/>
      <c r="V40" s="32"/>
      <c r="W40" s="32"/>
      <c r="X40" s="32"/>
    </row>
    <row r="41" spans="1:24" s="113" customFormat="1" ht="18.75" customHeight="1" x14ac:dyDescent="0.2">
      <c r="A41" s="22" t="s">
        <v>66</v>
      </c>
      <c r="B41" s="388">
        <f>Inputs!B52</f>
        <v>3.5000000000000003E-2</v>
      </c>
      <c r="C41" s="23" t="s">
        <v>2</v>
      </c>
      <c r="D41" s="216" t="s">
        <v>375</v>
      </c>
      <c r="E41" s="217"/>
      <c r="F41" s="217"/>
      <c r="G41" s="218"/>
      <c r="I41" s="2"/>
      <c r="J41" s="2"/>
      <c r="K41" s="2"/>
      <c r="L41" s="2"/>
      <c r="M41" s="2"/>
      <c r="N41" s="2"/>
      <c r="O41" s="2"/>
      <c r="P41" s="2"/>
      <c r="Q41" s="2"/>
      <c r="R41" s="2"/>
      <c r="S41" s="2"/>
      <c r="T41" s="171"/>
      <c r="U41" s="171"/>
      <c r="V41" s="2"/>
      <c r="W41" s="2"/>
      <c r="X41" s="2"/>
    </row>
    <row r="42" spans="1:24" s="113" customFormat="1" ht="18.75" customHeight="1" x14ac:dyDescent="0.2">
      <c r="A42" s="22" t="s">
        <v>17</v>
      </c>
      <c r="B42" s="389">
        <f>Inputs!B12</f>
        <v>1282</v>
      </c>
      <c r="C42" s="23" t="s">
        <v>3</v>
      </c>
      <c r="D42" s="346" t="s">
        <v>580</v>
      </c>
      <c r="E42" s="197"/>
      <c r="F42" s="197"/>
      <c r="G42" s="198"/>
      <c r="T42" s="171"/>
      <c r="U42" s="171"/>
    </row>
    <row r="43" spans="1:24" s="113" customFormat="1" ht="18.75" customHeight="1" x14ac:dyDescent="0.2">
      <c r="A43" s="22" t="s">
        <v>248</v>
      </c>
      <c r="B43" s="390">
        <f>Inputs!B48</f>
        <v>1093</v>
      </c>
      <c r="C43" s="23" t="s">
        <v>5</v>
      </c>
      <c r="D43" s="201" t="s">
        <v>382</v>
      </c>
      <c r="E43" s="197"/>
      <c r="F43" s="197"/>
      <c r="G43" s="198"/>
      <c r="T43" s="171"/>
      <c r="U43" s="171"/>
    </row>
    <row r="44" spans="1:24" s="113" customFormat="1" ht="18.75" customHeight="1" x14ac:dyDescent="0.2">
      <c r="A44" s="22" t="s">
        <v>18</v>
      </c>
      <c r="B44" s="391">
        <f>Inputs!B53</f>
        <v>5.8999999999999997E-2</v>
      </c>
      <c r="C44" s="23" t="s">
        <v>2</v>
      </c>
      <c r="D44" s="203" t="s">
        <v>528</v>
      </c>
      <c r="E44" s="197"/>
      <c r="F44" s="197"/>
      <c r="G44" s="198"/>
      <c r="T44" s="171"/>
      <c r="U44" s="171"/>
    </row>
    <row r="45" spans="1:24" s="113" customFormat="1" ht="18.75" customHeight="1" x14ac:dyDescent="0.2">
      <c r="A45" s="28" t="s">
        <v>14</v>
      </c>
      <c r="B45" s="389">
        <f>Inputs!B54</f>
        <v>30</v>
      </c>
      <c r="C45" s="29" t="s">
        <v>4</v>
      </c>
      <c r="D45" s="202" t="s">
        <v>383</v>
      </c>
      <c r="E45" s="199"/>
      <c r="F45" s="197"/>
      <c r="G45" s="198"/>
      <c r="T45" s="171"/>
      <c r="U45" s="171"/>
    </row>
    <row r="46" spans="1:24" s="113" customFormat="1" ht="12" customHeight="1" x14ac:dyDescent="0.2">
      <c r="A46" s="34"/>
      <c r="B46" s="2"/>
      <c r="C46" s="2"/>
      <c r="D46" s="2"/>
      <c r="E46" s="38"/>
      <c r="F46" s="2"/>
      <c r="G46" s="36"/>
      <c r="T46" s="171"/>
      <c r="U46" s="171"/>
    </row>
    <row r="47" spans="1:24" s="166" customFormat="1" ht="18.75" customHeight="1" x14ac:dyDescent="0.25">
      <c r="A47" s="687" t="s">
        <v>404</v>
      </c>
      <c r="B47" s="688"/>
      <c r="C47" s="688"/>
      <c r="D47" s="688"/>
      <c r="E47" s="688"/>
      <c r="F47" s="688"/>
      <c r="G47" s="689"/>
      <c r="T47" s="172"/>
      <c r="U47" s="172"/>
    </row>
    <row r="48" spans="1:24" s="166" customFormat="1" ht="17.25" customHeight="1" x14ac:dyDescent="0.25">
      <c r="A48" s="661" t="s">
        <v>405</v>
      </c>
      <c r="B48" s="662"/>
      <c r="C48" s="662"/>
      <c r="D48" s="662"/>
      <c r="E48" s="662"/>
      <c r="F48" s="662"/>
      <c r="G48" s="663"/>
      <c r="T48" s="172"/>
      <c r="U48" s="172"/>
    </row>
    <row r="49" spans="1:47" s="113" customFormat="1" ht="18.75" customHeight="1" x14ac:dyDescent="0.2">
      <c r="A49" s="22" t="s">
        <v>280</v>
      </c>
      <c r="B49" s="392">
        <f>Inputs!B44</f>
        <v>595</v>
      </c>
      <c r="C49" s="25" t="s">
        <v>59</v>
      </c>
      <c r="D49" s="219" t="s">
        <v>333</v>
      </c>
      <c r="E49" s="220"/>
      <c r="F49" s="220"/>
      <c r="G49" s="221"/>
      <c r="T49" s="171"/>
      <c r="U49" s="171"/>
    </row>
    <row r="50" spans="1:47" s="113" customFormat="1" ht="80.25" customHeight="1" x14ac:dyDescent="0.2">
      <c r="A50" s="22" t="s">
        <v>8</v>
      </c>
      <c r="B50" s="393">
        <f>Inputs!B45</f>
        <v>0.7</v>
      </c>
      <c r="C50" s="23" t="s">
        <v>27</v>
      </c>
      <c r="D50" s="681" t="s">
        <v>247</v>
      </c>
      <c r="E50" s="682"/>
      <c r="F50" s="682"/>
      <c r="G50" s="683"/>
      <c r="T50" s="171"/>
      <c r="U50" s="171"/>
    </row>
    <row r="51" spans="1:47" s="113" customFormat="1" ht="28.5" customHeight="1" x14ac:dyDescent="0.2">
      <c r="A51" s="22" t="s">
        <v>419</v>
      </c>
      <c r="B51" s="389">
        <f>Inputs!B46</f>
        <v>5946</v>
      </c>
      <c r="C51" s="25" t="s">
        <v>60</v>
      </c>
      <c r="D51" s="681" t="s">
        <v>371</v>
      </c>
      <c r="E51" s="682"/>
      <c r="F51" s="682"/>
      <c r="G51" s="683"/>
      <c r="T51" s="171"/>
      <c r="U51" s="171"/>
    </row>
    <row r="52" spans="1:47" s="113" customFormat="1" ht="28.5" customHeight="1" x14ac:dyDescent="0.2">
      <c r="A52" s="22" t="s">
        <v>420</v>
      </c>
      <c r="B52" s="55">
        <f>IF(Inputs!B47="",1000,Inputs!B47)</f>
        <v>2330</v>
      </c>
      <c r="C52" s="25" t="s">
        <v>60</v>
      </c>
      <c r="D52" s="372"/>
      <c r="E52" s="373"/>
      <c r="F52" s="373"/>
      <c r="G52" s="374"/>
      <c r="T52" s="171"/>
      <c r="U52" s="171"/>
    </row>
    <row r="53" spans="1:47" s="166" customFormat="1" ht="52.5" customHeight="1" x14ac:dyDescent="0.25">
      <c r="A53" s="564" t="s">
        <v>385</v>
      </c>
      <c r="B53" s="56">
        <f>IF(Inputs!B43="",IF(Calculations!B11&gt;6000,B11/130,IF(Calculations!B11&gt;4000,B11/114,IF(B11&gt;1000,36,IF(B11&gt;500,30,24)))),Calculations!B11/Inputs!B43)</f>
        <v>36</v>
      </c>
      <c r="C53" s="57" t="s">
        <v>62</v>
      </c>
      <c r="D53" s="667" t="s">
        <v>384</v>
      </c>
      <c r="E53" s="668"/>
      <c r="F53" s="668"/>
      <c r="G53" s="669"/>
      <c r="T53" s="172"/>
      <c r="U53" s="172"/>
    </row>
    <row r="54" spans="1:47" s="166" customFormat="1" ht="10.5" customHeight="1" x14ac:dyDescent="0.25">
      <c r="A54" s="39"/>
      <c r="B54" s="32"/>
      <c r="C54" s="32"/>
      <c r="D54" s="32"/>
      <c r="E54" s="32"/>
      <c r="F54" s="32"/>
      <c r="G54" s="33"/>
      <c r="T54" s="172"/>
      <c r="U54" s="172"/>
    </row>
    <row r="55" spans="1:47" s="166" customFormat="1" ht="18.75" customHeight="1" x14ac:dyDescent="0.25">
      <c r="A55" s="676" t="s">
        <v>406</v>
      </c>
      <c r="B55" s="677"/>
      <c r="C55" s="677"/>
      <c r="D55" s="677"/>
      <c r="E55" s="677"/>
      <c r="F55" s="677"/>
      <c r="G55" s="678"/>
      <c r="T55" s="172"/>
      <c r="U55" s="172"/>
    </row>
    <row r="56" spans="1:47" s="166" customFormat="1" ht="25.5" customHeight="1" x14ac:dyDescent="0.25">
      <c r="A56" s="684" t="s">
        <v>485</v>
      </c>
      <c r="B56" s="685"/>
      <c r="C56" s="685"/>
      <c r="D56" s="685"/>
      <c r="E56" s="685"/>
      <c r="F56" s="685"/>
      <c r="G56" s="686"/>
      <c r="T56" s="172"/>
      <c r="U56" s="172"/>
    </row>
    <row r="57" spans="1:47" s="166" customFormat="1" ht="33.75" customHeight="1" x14ac:dyDescent="0.25">
      <c r="A57" s="684" t="s">
        <v>486</v>
      </c>
      <c r="B57" s="685"/>
      <c r="C57" s="685"/>
      <c r="D57" s="685"/>
      <c r="E57" s="685"/>
      <c r="F57" s="685"/>
      <c r="G57" s="686"/>
      <c r="T57" s="172"/>
      <c r="U57" s="172"/>
    </row>
    <row r="58" spans="1:47" s="166" customFormat="1" ht="18" customHeight="1" x14ac:dyDescent="0.2">
      <c r="A58" s="22" t="s">
        <v>10</v>
      </c>
      <c r="B58" s="58">
        <v>8.3333333333333329E-2</v>
      </c>
      <c r="C58" s="23" t="s">
        <v>11</v>
      </c>
      <c r="D58" s="216" t="s">
        <v>50</v>
      </c>
      <c r="E58" s="222"/>
      <c r="F58" s="222"/>
      <c r="G58" s="223"/>
      <c r="T58" s="172"/>
      <c r="U58" s="172"/>
    </row>
    <row r="59" spans="1:47" s="113" customFormat="1" ht="18.75" customHeight="1" x14ac:dyDescent="0.2">
      <c r="A59" s="24" t="s">
        <v>331</v>
      </c>
      <c r="B59" s="59">
        <f>B11/B53</f>
        <v>92.972222222222229</v>
      </c>
      <c r="C59" s="25" t="s">
        <v>1</v>
      </c>
      <c r="D59" s="202" t="s">
        <v>63</v>
      </c>
      <c r="E59" s="197"/>
      <c r="F59" s="197"/>
      <c r="G59" s="198"/>
      <c r="T59" s="171"/>
      <c r="U59" s="171"/>
    </row>
    <row r="60" spans="1:47" ht="29.25" customHeight="1" x14ac:dyDescent="0.25">
      <c r="A60" s="22" t="s">
        <v>595</v>
      </c>
      <c r="B60" s="54">
        <f>B11/B59</f>
        <v>36</v>
      </c>
      <c r="C60" s="23" t="s">
        <v>9</v>
      </c>
      <c r="D60" s="202" t="s">
        <v>330</v>
      </c>
      <c r="E60" s="197"/>
      <c r="F60" s="197"/>
      <c r="G60" s="198"/>
      <c r="H60" s="113"/>
      <c r="I60" s="113"/>
      <c r="J60" s="113"/>
      <c r="K60" s="113"/>
      <c r="L60" s="113"/>
      <c r="M60" s="113"/>
      <c r="N60" s="113"/>
      <c r="O60" s="113"/>
      <c r="P60" s="113"/>
      <c r="Q60" s="113"/>
      <c r="R60" s="113"/>
      <c r="S60" s="113"/>
      <c r="T60" s="171"/>
      <c r="U60" s="171"/>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row>
    <row r="61" spans="1:47" ht="27.75" customHeight="1" x14ac:dyDescent="0.25">
      <c r="A61" s="22" t="s">
        <v>606</v>
      </c>
      <c r="B61" s="54">
        <f>$B$29/$B$60</f>
        <v>106.8681196815905</v>
      </c>
      <c r="C61" s="23" t="s">
        <v>0</v>
      </c>
      <c r="D61" s="202" t="s">
        <v>46</v>
      </c>
      <c r="E61" s="197"/>
      <c r="F61" s="197"/>
      <c r="G61" s="198"/>
      <c r="H61" s="113"/>
      <c r="I61" s="113"/>
      <c r="J61" s="113"/>
      <c r="K61" s="113"/>
      <c r="L61" s="113"/>
      <c r="M61" s="113"/>
      <c r="N61" s="113"/>
      <c r="O61" s="113"/>
      <c r="P61" s="113"/>
      <c r="Q61" s="113"/>
      <c r="R61" s="113"/>
      <c r="S61" s="113"/>
      <c r="T61" s="171"/>
      <c r="U61" s="171"/>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row>
    <row r="62" spans="1:47" ht="29.25" customHeight="1" x14ac:dyDescent="0.25">
      <c r="A62" s="22" t="s">
        <v>607</v>
      </c>
      <c r="B62" s="59">
        <f>$B$12/$B$60</f>
        <v>35.39642181378742</v>
      </c>
      <c r="C62" s="23" t="s">
        <v>48</v>
      </c>
      <c r="D62" s="202" t="s">
        <v>47</v>
      </c>
      <c r="E62" s="197"/>
      <c r="F62" s="197"/>
      <c r="G62" s="198"/>
      <c r="H62" s="113"/>
      <c r="I62" s="113"/>
      <c r="J62" s="113"/>
      <c r="K62" s="113"/>
      <c r="L62" s="113"/>
      <c r="M62" s="113"/>
      <c r="N62" s="113"/>
      <c r="O62" s="113"/>
      <c r="P62" s="113"/>
      <c r="Q62" s="113"/>
      <c r="R62" s="113"/>
      <c r="S62" s="113"/>
      <c r="T62" s="171"/>
      <c r="U62" s="171"/>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row>
    <row r="63" spans="1:47" ht="18.75" customHeight="1" x14ac:dyDescent="0.25">
      <c r="A63" s="208" t="s">
        <v>602</v>
      </c>
      <c r="B63" s="209">
        <f>($B$49*$B$11/$B$60)</f>
        <v>55318.472222222219</v>
      </c>
      <c r="C63" s="55" t="s">
        <v>596</v>
      </c>
      <c r="D63" s="202" t="s">
        <v>53</v>
      </c>
      <c r="E63" s="197"/>
      <c r="F63" s="197"/>
      <c r="G63" s="198"/>
      <c r="H63" s="113"/>
      <c r="I63" s="113"/>
      <c r="J63" s="113"/>
      <c r="K63" s="113"/>
      <c r="L63" s="113"/>
      <c r="M63" s="113"/>
      <c r="N63" s="113"/>
      <c r="O63" s="113"/>
      <c r="P63" s="113"/>
      <c r="Q63" s="113"/>
      <c r="R63" s="113"/>
      <c r="S63" s="113"/>
      <c r="T63" s="171"/>
      <c r="U63" s="171"/>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row>
    <row r="64" spans="1:47" ht="18.75" customHeight="1" thickBot="1" x14ac:dyDescent="0.3">
      <c r="A64" s="194" t="s">
        <v>83</v>
      </c>
      <c r="B64" s="195"/>
      <c r="C64" s="193"/>
      <c r="D64" s="205"/>
      <c r="E64" s="206"/>
      <c r="F64" s="206"/>
      <c r="G64" s="207"/>
      <c r="H64" s="113"/>
      <c r="I64" s="113"/>
      <c r="J64" s="113"/>
      <c r="K64" s="113"/>
      <c r="L64" s="113"/>
      <c r="M64" s="113"/>
      <c r="N64" s="113"/>
      <c r="O64" s="113"/>
      <c r="P64" s="113"/>
      <c r="Q64" s="113"/>
      <c r="R64" s="113"/>
      <c r="S64" s="113"/>
      <c r="T64" s="171"/>
      <c r="U64" s="171"/>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row>
    <row r="65" spans="1:47" ht="21" customHeight="1" thickBot="1" x14ac:dyDescent="0.3">
      <c r="A65" s="12"/>
      <c r="B65" s="40"/>
      <c r="D65" s="9"/>
      <c r="E65" s="9"/>
      <c r="F65" s="9"/>
      <c r="G65" s="9"/>
      <c r="H65" s="113"/>
      <c r="I65" s="113"/>
      <c r="J65" s="113"/>
      <c r="K65" s="113"/>
      <c r="L65" s="113"/>
      <c r="M65" s="113"/>
      <c r="N65" s="113"/>
      <c r="O65" s="113"/>
      <c r="P65" s="113"/>
      <c r="Q65" s="113"/>
      <c r="R65" s="113"/>
      <c r="S65" s="113"/>
      <c r="T65" s="171"/>
      <c r="U65" s="171"/>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row>
    <row r="66" spans="1:47" ht="22.5" customHeight="1" x14ac:dyDescent="0.25">
      <c r="A66" s="422" t="s">
        <v>395</v>
      </c>
      <c r="B66" s="423"/>
      <c r="C66" s="423"/>
      <c r="D66" s="423"/>
      <c r="E66" s="423"/>
      <c r="F66" s="423"/>
      <c r="G66" s="423"/>
      <c r="H66" s="423"/>
      <c r="I66" s="423"/>
      <c r="J66" s="423"/>
      <c r="K66" s="423"/>
      <c r="L66" s="423"/>
      <c r="M66" s="423"/>
      <c r="N66" s="423"/>
      <c r="O66" s="423"/>
      <c r="P66" s="423"/>
      <c r="Q66" s="423"/>
      <c r="R66" s="423"/>
      <c r="S66" s="423"/>
      <c r="T66" s="424"/>
      <c r="U66" s="425"/>
      <c r="V66" s="407"/>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row>
    <row r="67" spans="1:47" ht="17.25" customHeight="1" x14ac:dyDescent="0.25">
      <c r="A67" s="417"/>
      <c r="B67" s="657" t="s">
        <v>393</v>
      </c>
      <c r="C67" s="656"/>
      <c r="D67" s="656"/>
      <c r="E67" s="656"/>
      <c r="F67" s="658"/>
      <c r="G67" s="679" t="s">
        <v>392</v>
      </c>
      <c r="H67" s="680"/>
      <c r="I67" s="657" t="s">
        <v>391</v>
      </c>
      <c r="J67" s="658"/>
      <c r="K67" s="418" t="s">
        <v>23</v>
      </c>
      <c r="L67" s="419"/>
      <c r="M67" s="419"/>
      <c r="N67" s="420"/>
      <c r="O67" s="421"/>
      <c r="P67" s="656" t="s">
        <v>394</v>
      </c>
      <c r="Q67" s="656"/>
      <c r="R67" s="656"/>
      <c r="S67" s="656"/>
      <c r="T67" s="656"/>
      <c r="U67" s="656"/>
      <c r="V67" s="408"/>
      <c r="W67" s="8"/>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row>
    <row r="68" spans="1:47" ht="14.25" customHeight="1" x14ac:dyDescent="0.25">
      <c r="A68" s="41" t="s">
        <v>28</v>
      </c>
      <c r="B68" s="42" t="s">
        <v>29</v>
      </c>
      <c r="C68" s="43" t="s">
        <v>30</v>
      </c>
      <c r="D68" s="43" t="s">
        <v>31</v>
      </c>
      <c r="E68" s="43" t="s">
        <v>32</v>
      </c>
      <c r="F68" s="44" t="s">
        <v>33</v>
      </c>
      <c r="G68" s="45" t="s">
        <v>34</v>
      </c>
      <c r="H68" s="47" t="s">
        <v>35</v>
      </c>
      <c r="I68" s="42" t="s">
        <v>36</v>
      </c>
      <c r="J68" s="44" t="s">
        <v>37</v>
      </c>
      <c r="K68" s="45" t="s">
        <v>38</v>
      </c>
      <c r="L68" s="46" t="s">
        <v>39</v>
      </c>
      <c r="M68" s="46" t="s">
        <v>40</v>
      </c>
      <c r="N68" s="42" t="s">
        <v>41</v>
      </c>
      <c r="O68" s="43" t="s">
        <v>42</v>
      </c>
      <c r="P68" s="43" t="s">
        <v>242</v>
      </c>
      <c r="Q68" s="43" t="s">
        <v>43</v>
      </c>
      <c r="R68" s="43" t="s">
        <v>44</v>
      </c>
      <c r="S68" s="43" t="s">
        <v>45</v>
      </c>
      <c r="T68" s="43" t="s">
        <v>544</v>
      </c>
      <c r="U68" s="44" t="s">
        <v>545</v>
      </c>
      <c r="V68" s="409"/>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row>
    <row r="69" spans="1:47" s="113" customFormat="1" ht="77.25" x14ac:dyDescent="0.25">
      <c r="A69" s="60" t="s">
        <v>581</v>
      </c>
      <c r="B69" s="61" t="s">
        <v>612</v>
      </c>
      <c r="C69" s="62" t="s">
        <v>582</v>
      </c>
      <c r="D69" s="62" t="s">
        <v>583</v>
      </c>
      <c r="E69" s="62" t="s">
        <v>613</v>
      </c>
      <c r="F69" s="63" t="s">
        <v>12</v>
      </c>
      <c r="G69" s="61" t="s">
        <v>608</v>
      </c>
      <c r="H69" s="63" t="s">
        <v>13</v>
      </c>
      <c r="I69" s="61" t="s">
        <v>584</v>
      </c>
      <c r="J69" s="64" t="s">
        <v>585</v>
      </c>
      <c r="K69" s="61" t="s">
        <v>603</v>
      </c>
      <c r="L69" s="62" t="s">
        <v>390</v>
      </c>
      <c r="M69" s="62" t="s">
        <v>586</v>
      </c>
      <c r="N69" s="66" t="s">
        <v>587</v>
      </c>
      <c r="O69" s="65" t="s">
        <v>588</v>
      </c>
      <c r="P69" s="62" t="s">
        <v>589</v>
      </c>
      <c r="Q69" s="62" t="s">
        <v>590</v>
      </c>
      <c r="R69" s="62" t="s">
        <v>591</v>
      </c>
      <c r="S69" s="62" t="s">
        <v>592</v>
      </c>
      <c r="T69" s="65" t="s">
        <v>593</v>
      </c>
      <c r="U69" s="67" t="s">
        <v>26</v>
      </c>
      <c r="V69" s="412" t="s">
        <v>407</v>
      </c>
      <c r="W69" s="175"/>
      <c r="X69" s="175"/>
      <c r="Y69" s="169"/>
      <c r="Z69" s="169"/>
      <c r="AA69" s="169"/>
      <c r="AB69" s="169"/>
      <c r="AC69" s="169"/>
      <c r="AD69" s="169"/>
      <c r="AE69" s="169"/>
      <c r="AF69" s="169"/>
    </row>
    <row r="70" spans="1:47" s="181" customFormat="1" ht="18.75" customHeight="1" x14ac:dyDescent="0.25">
      <c r="A70" s="68" t="s">
        <v>9</v>
      </c>
      <c r="B70" s="69" t="s">
        <v>6</v>
      </c>
      <c r="C70" s="70" t="s">
        <v>6</v>
      </c>
      <c r="D70" s="70" t="s">
        <v>6</v>
      </c>
      <c r="E70" s="70" t="s">
        <v>6</v>
      </c>
      <c r="F70" s="71" t="s">
        <v>6</v>
      </c>
      <c r="G70" s="69" t="s">
        <v>6</v>
      </c>
      <c r="H70" s="71" t="s">
        <v>6</v>
      </c>
      <c r="I70" s="69" t="s">
        <v>6</v>
      </c>
      <c r="J70" s="71" t="s">
        <v>7</v>
      </c>
      <c r="K70" s="69" t="s">
        <v>6</v>
      </c>
      <c r="L70" s="70" t="s">
        <v>9</v>
      </c>
      <c r="M70" s="70" t="s">
        <v>7</v>
      </c>
      <c r="N70" s="69" t="s">
        <v>7</v>
      </c>
      <c r="O70" s="70"/>
      <c r="P70" s="70" t="s">
        <v>16</v>
      </c>
      <c r="Q70" s="70" t="s">
        <v>7</v>
      </c>
      <c r="R70" s="70"/>
      <c r="S70" s="70" t="s">
        <v>7</v>
      </c>
      <c r="T70" s="70" t="s">
        <v>19</v>
      </c>
      <c r="U70" s="72"/>
      <c r="V70" s="413"/>
      <c r="W70" s="177"/>
      <c r="X70" s="177"/>
      <c r="Y70" s="178"/>
      <c r="Z70" s="178"/>
      <c r="AA70" s="178"/>
      <c r="AB70" s="178"/>
      <c r="AC70" s="179"/>
      <c r="AD70" s="180"/>
      <c r="AE70" s="180"/>
      <c r="AF70" s="180"/>
    </row>
    <row r="71" spans="1:47" s="113" customFormat="1" ht="15" customHeight="1" x14ac:dyDescent="0.2">
      <c r="A71" s="73">
        <v>1</v>
      </c>
      <c r="B71" s="74">
        <f>IF(A71&lt;=$B$60, ($B$60-A71+1)*$B$61*$B$58, 0)</f>
        <v>320.60435904477151</v>
      </c>
      <c r="C71" s="75">
        <f t="shared" ref="C71:C134" si="0">IF(A71&lt;=$B$60, ($B$60-A71+1)*$B$62*(A71-0.5)*$B$58^2, 0)</f>
        <v>4.4245527267234275</v>
      </c>
      <c r="D71" s="75">
        <f>IF(A71&lt;=$B$60, $B$62*($B$58^2)*((A71-1)^2)/2, $B$62*($B$58^2)*(($B$60)^2)/2)</f>
        <v>0</v>
      </c>
      <c r="E71" s="54">
        <f>SUM(B71:D71)</f>
        <v>325.02891177149496</v>
      </c>
      <c r="F71" s="79">
        <f>E71</f>
        <v>325.02891177149496</v>
      </c>
      <c r="G71" s="77">
        <f t="shared" ref="G71" si="1">$B$60*($B$61+$B$62*(A71-0.5)*$B$58)*$B$58</f>
        <v>325.0289117714949</v>
      </c>
      <c r="H71" s="79">
        <f>G71</f>
        <v>325.0289117714949</v>
      </c>
      <c r="I71" s="78">
        <f>G71-E71</f>
        <v>0</v>
      </c>
      <c r="J71" s="76">
        <f>$B$63</f>
        <v>55318.472222222219</v>
      </c>
      <c r="K71" s="80">
        <f t="shared" ref="K71:K134" si="2">IF(A71&lt;=$B$60,$B$29/$B$60+A71*$B$58*$B$62,$B$62*$B$58*$B$60)</f>
        <v>109.81782149940612</v>
      </c>
      <c r="L71" s="78">
        <f>K71/$B$29*($B$35+$B$38)</f>
        <v>7.043900237035853</v>
      </c>
      <c r="M71" s="59">
        <f t="shared" ref="M71:M134" si="3">(K71/$B$29/$B$50)*($B$35*$B$51+$B$38*$B$52)</f>
        <v>28381.364758949472</v>
      </c>
      <c r="N71" s="80">
        <f>J71+M71</f>
        <v>83699.836981171684</v>
      </c>
      <c r="O71" s="54">
        <f>N71/((1+$B$41*$B$58)^((24)))</f>
        <v>78049.162383367991</v>
      </c>
      <c r="P71" s="54">
        <f>IF($B$42&lt;$B$43,$B$43*(1+$B$44*A71*24*$B$58),$B$42*(1+$B$44*A71*24*$B$58))</f>
        <v>1433.2759999999998</v>
      </c>
      <c r="Q71" s="54">
        <f>(G71-E71)*P71</f>
        <v>-8.1472308011143459E-11</v>
      </c>
      <c r="R71" s="54">
        <f>Q71/((1+$B$41*$B$58)^((24)))</f>
        <v>-7.597201651826316E-11</v>
      </c>
      <c r="S71" s="54">
        <f>Q71-N71</f>
        <v>-83699.836981171771</v>
      </c>
      <c r="T71" s="81">
        <f>S71/((1+$B$41*$B$58)^((24)))</f>
        <v>-78049.162383368079</v>
      </c>
      <c r="U71" s="376">
        <v>2022</v>
      </c>
      <c r="V71" s="414">
        <v>8.3333333333333329E-2</v>
      </c>
      <c r="W71" s="182"/>
      <c r="X71" s="182"/>
      <c r="Y71" s="183"/>
      <c r="Z71" s="183"/>
      <c r="AA71" s="184"/>
    </row>
    <row r="72" spans="1:47" s="113" customFormat="1" ht="15" x14ac:dyDescent="0.25">
      <c r="A72" s="73">
        <v>2</v>
      </c>
      <c r="B72" s="74">
        <f t="shared" ref="B72:B134" si="4">IF(A72&lt;=$B$60, ($B$60-A72+1)*$B$61*$B$58, 0)</f>
        <v>311.69868240463893</v>
      </c>
      <c r="C72" s="75">
        <f t="shared" si="0"/>
        <v>12.904945452943331</v>
      </c>
      <c r="D72" s="75">
        <f t="shared" ref="D72:D134" si="5">IF(A72&lt;=$B$60, $B$62*($B$58^2)*((A72-1)^2)/2, $B$62*($B$58^2)*(($B$60)^2)/2)</f>
        <v>0.12290424240898409</v>
      </c>
      <c r="E72" s="54">
        <f t="shared" ref="E72:E135" si="6">SUM(B72:D72)</f>
        <v>324.72653209999123</v>
      </c>
      <c r="F72" s="76">
        <f>E72+F71</f>
        <v>649.75544387148625</v>
      </c>
      <c r="G72" s="77">
        <f>G71</f>
        <v>325.0289117714949</v>
      </c>
      <c r="H72" s="79">
        <f t="shared" ref="H72:H135" si="7">G72+H71</f>
        <v>650.05782354298981</v>
      </c>
      <c r="I72" s="78">
        <f>G72-E72</f>
        <v>0.3023796715036724</v>
      </c>
      <c r="J72" s="76">
        <f t="shared" ref="J72:J135" si="8">$B$63</f>
        <v>55318.472222222219</v>
      </c>
      <c r="K72" s="80">
        <f t="shared" si="2"/>
        <v>112.76752331722173</v>
      </c>
      <c r="L72" s="78">
        <f t="shared" ref="L72:L135" si="9">K72/$B$29*($B$35+$B$38)</f>
        <v>7.2330990851828156</v>
      </c>
      <c r="M72" s="59">
        <f t="shared" si="3"/>
        <v>29143.686958375125</v>
      </c>
      <c r="N72" s="80">
        <f t="shared" ref="N72:N135" si="10">J72+M72</f>
        <v>84462.159180597344</v>
      </c>
      <c r="O72" s="54">
        <f t="shared" ref="O72:O135" si="11">N72/((1+$B$41*$B$58)^((24+A72-1)))</f>
        <v>78530.970648659248</v>
      </c>
      <c r="P72" s="54">
        <f t="shared" ref="P72:P135" si="12">$P$71*(1+$B$44*(A72-1)*$B$58)</f>
        <v>1440.3229403333332</v>
      </c>
      <c r="Q72" s="54">
        <f t="shared" ref="Q72:Q135" si="13">(G72-E72)*P72</f>
        <v>435.52437755719683</v>
      </c>
      <c r="R72" s="54">
        <f t="shared" ref="R72:R135" si="14">Q72/((1+$B$41*$B$58)^((24+A72-1)))</f>
        <v>404.94053718883305</v>
      </c>
      <c r="S72" s="54">
        <f>Q72-N72</f>
        <v>-84026.634803040142</v>
      </c>
      <c r="T72" s="81">
        <f t="shared" ref="T72:T135" si="15">S72/((1+$B$41*$B$58)^((24+A72-1)))</f>
        <v>-78126.03011147042</v>
      </c>
      <c r="U72" s="82">
        <f t="shared" ref="U72:U135" si="16">IF(MOD(A71,12)=0,U71+1,U71)</f>
        <v>2022</v>
      </c>
      <c r="V72" s="414">
        <v>0.16666666666666666</v>
      </c>
      <c r="W72" s="175"/>
      <c r="X72" s="175"/>
      <c r="Y72" s="165"/>
      <c r="Z72" s="182"/>
      <c r="AA72" s="182"/>
    </row>
    <row r="73" spans="1:47" s="113" customFormat="1" x14ac:dyDescent="0.2">
      <c r="A73" s="73">
        <v>3</v>
      </c>
      <c r="B73" s="74">
        <f t="shared" si="4"/>
        <v>302.7930057645064</v>
      </c>
      <c r="C73" s="75">
        <f t="shared" si="0"/>
        <v>20.893721209527296</v>
      </c>
      <c r="D73" s="75">
        <f t="shared" si="5"/>
        <v>0.49161696963593637</v>
      </c>
      <c r="E73" s="54">
        <f t="shared" si="6"/>
        <v>324.17834394366963</v>
      </c>
      <c r="F73" s="76">
        <f>E73+F72</f>
        <v>973.93378781515594</v>
      </c>
      <c r="G73" s="77">
        <f t="shared" ref="G73:G136" si="17">G72</f>
        <v>325.0289117714949</v>
      </c>
      <c r="H73" s="79">
        <f t="shared" si="7"/>
        <v>975.08673531448471</v>
      </c>
      <c r="I73" s="78">
        <f t="shared" ref="I73:I134" si="18">G73-E73</f>
        <v>0.85056782782527307</v>
      </c>
      <c r="J73" s="76">
        <f t="shared" si="8"/>
        <v>55318.472222222219</v>
      </c>
      <c r="K73" s="80">
        <f t="shared" si="2"/>
        <v>115.71722513503735</v>
      </c>
      <c r="L73" s="78">
        <f t="shared" si="9"/>
        <v>7.4222979333297801</v>
      </c>
      <c r="M73" s="59">
        <f t="shared" si="3"/>
        <v>29906.009157800781</v>
      </c>
      <c r="N73" s="80">
        <f t="shared" si="10"/>
        <v>85224.481380023004</v>
      </c>
      <c r="O73" s="54">
        <f t="shared" si="11"/>
        <v>79009.316435660847</v>
      </c>
      <c r="P73" s="54">
        <f t="shared" si="12"/>
        <v>1447.3698806666666</v>
      </c>
      <c r="Q73" s="54">
        <f t="shared" si="13"/>
        <v>1231.0862554583714</v>
      </c>
      <c r="R73" s="54">
        <f t="shared" si="14"/>
        <v>1141.3068397961897</v>
      </c>
      <c r="S73" s="54">
        <f t="shared" ref="S73:S102" si="19">Q73-N73</f>
        <v>-83993.395124564631</v>
      </c>
      <c r="T73" s="81">
        <f t="shared" si="15"/>
        <v>-77868.009595864656</v>
      </c>
      <c r="U73" s="82">
        <f t="shared" si="16"/>
        <v>2022</v>
      </c>
      <c r="V73" s="414">
        <v>0.25</v>
      </c>
      <c r="W73" s="177"/>
      <c r="X73" s="177"/>
      <c r="Y73" s="165"/>
      <c r="Z73" s="182"/>
      <c r="AA73" s="182"/>
    </row>
    <row r="74" spans="1:47" s="113" customFormat="1" x14ac:dyDescent="0.2">
      <c r="A74" s="73">
        <v>4</v>
      </c>
      <c r="B74" s="74">
        <f t="shared" si="4"/>
        <v>293.88732912437388</v>
      </c>
      <c r="C74" s="75">
        <f t="shared" si="0"/>
        <v>28.39087999647532</v>
      </c>
      <c r="D74" s="75">
        <f t="shared" si="5"/>
        <v>1.1061381816808569</v>
      </c>
      <c r="E74" s="54">
        <f t="shared" si="6"/>
        <v>323.38434730253005</v>
      </c>
      <c r="F74" s="76">
        <f t="shared" ref="F74:F137" si="20">E74+F73</f>
        <v>1297.3181351176859</v>
      </c>
      <c r="G74" s="77">
        <f t="shared" si="17"/>
        <v>325.0289117714949</v>
      </c>
      <c r="H74" s="79">
        <f t="shared" si="7"/>
        <v>1300.1156470859796</v>
      </c>
      <c r="I74" s="78">
        <f>G74-E74</f>
        <v>1.6445644689648589</v>
      </c>
      <c r="J74" s="76">
        <f t="shared" si="8"/>
        <v>55318.472222222219</v>
      </c>
      <c r="K74" s="80">
        <f t="shared" si="2"/>
        <v>118.66692695285298</v>
      </c>
      <c r="L74" s="78">
        <f t="shared" si="9"/>
        <v>7.6114967814767436</v>
      </c>
      <c r="M74" s="59">
        <f t="shared" si="3"/>
        <v>30668.331357226434</v>
      </c>
      <c r="N74" s="80">
        <f t="shared" si="10"/>
        <v>85986.80357944865</v>
      </c>
      <c r="O74" s="54">
        <f t="shared" si="11"/>
        <v>79484.215808512672</v>
      </c>
      <c r="P74" s="54">
        <f t="shared" si="12"/>
        <v>1454.4168209999998</v>
      </c>
      <c r="Q74" s="54">
        <f t="shared" si="13"/>
        <v>2391.8822268814229</v>
      </c>
      <c r="R74" s="54">
        <f t="shared" si="14"/>
        <v>2211.0007023848475</v>
      </c>
      <c r="S74" s="54">
        <f t="shared" si="19"/>
        <v>-83594.921352567224</v>
      </c>
      <c r="T74" s="81">
        <f t="shared" si="15"/>
        <v>-77273.215106127813</v>
      </c>
      <c r="U74" s="82">
        <f t="shared" si="16"/>
        <v>2022</v>
      </c>
      <c r="V74" s="414">
        <v>0.33333333333333298</v>
      </c>
      <c r="W74" s="182"/>
      <c r="X74" s="182"/>
      <c r="Y74" s="165"/>
      <c r="Z74" s="182"/>
      <c r="AA74" s="182"/>
    </row>
    <row r="75" spans="1:47" s="113" customFormat="1" ht="15" x14ac:dyDescent="0.25">
      <c r="A75" s="73">
        <v>5</v>
      </c>
      <c r="B75" s="74">
        <f t="shared" si="4"/>
        <v>284.98165248424129</v>
      </c>
      <c r="C75" s="75">
        <f t="shared" si="0"/>
        <v>35.39642181378742</v>
      </c>
      <c r="D75" s="75">
        <f t="shared" si="5"/>
        <v>1.9664678785437455</v>
      </c>
      <c r="E75" s="54">
        <f>SUM(B75:D75)</f>
        <v>322.34454217657247</v>
      </c>
      <c r="F75" s="76">
        <f t="shared" si="20"/>
        <v>1619.6626772942584</v>
      </c>
      <c r="G75" s="77">
        <f t="shared" si="17"/>
        <v>325.0289117714949</v>
      </c>
      <c r="H75" s="79">
        <f t="shared" si="7"/>
        <v>1625.1445588574745</v>
      </c>
      <c r="I75" s="78">
        <f t="shared" si="18"/>
        <v>2.6843695949224298</v>
      </c>
      <c r="J75" s="76">
        <f t="shared" si="8"/>
        <v>55318.472222222219</v>
      </c>
      <c r="K75" s="80">
        <f t="shared" si="2"/>
        <v>121.6166287706686</v>
      </c>
      <c r="L75" s="78">
        <f t="shared" si="9"/>
        <v>7.8006956296237071</v>
      </c>
      <c r="M75" s="59">
        <f t="shared" si="3"/>
        <v>31430.653556652091</v>
      </c>
      <c r="N75" s="80">
        <f t="shared" si="10"/>
        <v>86749.12577887431</v>
      </c>
      <c r="O75" s="54">
        <f t="shared" si="11"/>
        <v>79955.684767203842</v>
      </c>
      <c r="P75" s="54">
        <f t="shared" si="12"/>
        <v>1461.4637613333332</v>
      </c>
      <c r="Q75" s="54">
        <f t="shared" si="13"/>
        <v>3923.1088850041701</v>
      </c>
      <c r="R75" s="54">
        <f t="shared" si="14"/>
        <v>3615.8849383263528</v>
      </c>
      <c r="S75" s="54">
        <f t="shared" si="19"/>
        <v>-82826.016893870139</v>
      </c>
      <c r="T75" s="81">
        <f t="shared" si="15"/>
        <v>-76339.799828877483</v>
      </c>
      <c r="U75" s="82">
        <f t="shared" si="16"/>
        <v>2022</v>
      </c>
      <c r="V75" s="414">
        <v>0.41666666666666602</v>
      </c>
      <c r="W75" s="175"/>
      <c r="X75" s="175"/>
      <c r="Y75" s="165"/>
      <c r="Z75" s="182"/>
      <c r="AA75" s="182"/>
    </row>
    <row r="76" spans="1:47" s="113" customFormat="1" x14ac:dyDescent="0.2">
      <c r="A76" s="73">
        <v>6</v>
      </c>
      <c r="B76" s="74">
        <f t="shared" si="4"/>
        <v>276.07597584410877</v>
      </c>
      <c r="C76" s="75">
        <f t="shared" si="0"/>
        <v>41.910346661463571</v>
      </c>
      <c r="D76" s="75">
        <f t="shared" si="5"/>
        <v>3.0726060602246021</v>
      </c>
      <c r="E76" s="54">
        <f t="shared" si="6"/>
        <v>321.05892856579692</v>
      </c>
      <c r="F76" s="76">
        <f t="shared" si="20"/>
        <v>1940.7216058600552</v>
      </c>
      <c r="G76" s="77">
        <f t="shared" si="17"/>
        <v>325.0289117714949</v>
      </c>
      <c r="H76" s="79">
        <f t="shared" si="7"/>
        <v>1950.1734706289694</v>
      </c>
      <c r="I76" s="78">
        <f t="shared" si="18"/>
        <v>3.9699832056979858</v>
      </c>
      <c r="J76" s="76">
        <f t="shared" si="8"/>
        <v>55318.472222222219</v>
      </c>
      <c r="K76" s="80">
        <f t="shared" si="2"/>
        <v>124.56633058848421</v>
      </c>
      <c r="L76" s="78">
        <f t="shared" si="9"/>
        <v>7.9898944777706715</v>
      </c>
      <c r="M76" s="59">
        <f t="shared" si="3"/>
        <v>32192.975756077751</v>
      </c>
      <c r="N76" s="80">
        <f t="shared" si="10"/>
        <v>87511.44797829997</v>
      </c>
      <c r="O76" s="54">
        <f t="shared" si="11"/>
        <v>80423.739247809659</v>
      </c>
      <c r="P76" s="54">
        <f t="shared" si="12"/>
        <v>1468.5107016666666</v>
      </c>
      <c r="Q76" s="54">
        <f t="shared" si="13"/>
        <v>5829.9628230044318</v>
      </c>
      <c r="R76" s="54">
        <f t="shared" si="14"/>
        <v>5357.7837041160237</v>
      </c>
      <c r="S76" s="54">
        <f t="shared" si="19"/>
        <v>-81681.485155295537</v>
      </c>
      <c r="T76" s="81">
        <f t="shared" si="15"/>
        <v>-75065.955543693635</v>
      </c>
      <c r="U76" s="82">
        <f t="shared" si="16"/>
        <v>2022</v>
      </c>
      <c r="V76" s="414">
        <v>0.5</v>
      </c>
      <c r="W76" s="177"/>
      <c r="X76" s="182"/>
      <c r="Y76" s="165"/>
      <c r="Z76" s="182"/>
      <c r="AA76" s="182"/>
    </row>
    <row r="77" spans="1:47" s="113" customFormat="1" x14ac:dyDescent="0.2">
      <c r="A77" s="73">
        <v>7</v>
      </c>
      <c r="B77" s="74">
        <f t="shared" si="4"/>
        <v>267.17029920397624</v>
      </c>
      <c r="C77" s="75">
        <f t="shared" si="0"/>
        <v>47.932654539503794</v>
      </c>
      <c r="D77" s="75">
        <f t="shared" si="5"/>
        <v>4.4245527267234275</v>
      </c>
      <c r="E77" s="54">
        <f t="shared" si="6"/>
        <v>319.52750647020349</v>
      </c>
      <c r="F77" s="76">
        <f t="shared" si="20"/>
        <v>2260.2491123302589</v>
      </c>
      <c r="G77" s="77">
        <f t="shared" si="17"/>
        <v>325.0289117714949</v>
      </c>
      <c r="H77" s="79">
        <f t="shared" si="7"/>
        <v>2275.2023824004646</v>
      </c>
      <c r="I77" s="78">
        <f t="shared" si="18"/>
        <v>5.5014053012914133</v>
      </c>
      <c r="J77" s="76">
        <f t="shared" si="8"/>
        <v>55318.472222222219</v>
      </c>
      <c r="K77" s="80">
        <f t="shared" si="2"/>
        <v>127.51603240629983</v>
      </c>
      <c r="L77" s="78">
        <f t="shared" si="9"/>
        <v>8.1790933259176342</v>
      </c>
      <c r="M77" s="59">
        <f t="shared" si="3"/>
        <v>32955.297955503404</v>
      </c>
      <c r="N77" s="80">
        <f t="shared" si="10"/>
        <v>88273.770177725615</v>
      </c>
      <c r="O77" s="54">
        <f t="shared" si="11"/>
        <v>80888.395122728281</v>
      </c>
      <c r="P77" s="54">
        <f t="shared" si="12"/>
        <v>1475.557642</v>
      </c>
      <c r="Q77" s="54">
        <f t="shared" si="13"/>
        <v>8117.6406340598569</v>
      </c>
      <c r="R77" s="54">
        <f t="shared" si="14"/>
        <v>7438.4828216823562</v>
      </c>
      <c r="S77" s="54">
        <f t="shared" si="19"/>
        <v>-80156.129543665753</v>
      </c>
      <c r="T77" s="81">
        <f t="shared" si="15"/>
        <v>-73449.912301045915</v>
      </c>
      <c r="U77" s="82">
        <f t="shared" si="16"/>
        <v>2022</v>
      </c>
      <c r="V77" s="414">
        <v>0.58333333333333304</v>
      </c>
      <c r="W77" s="182"/>
      <c r="X77" s="182"/>
      <c r="Y77" s="165"/>
      <c r="Z77" s="182"/>
      <c r="AA77" s="182"/>
    </row>
    <row r="78" spans="1:47" s="113" customFormat="1" ht="15" x14ac:dyDescent="0.25">
      <c r="A78" s="73">
        <v>8</v>
      </c>
      <c r="B78" s="74">
        <f t="shared" si="4"/>
        <v>258.26462256384366</v>
      </c>
      <c r="C78" s="75">
        <f t="shared" si="0"/>
        <v>53.463345447908075</v>
      </c>
      <c r="D78" s="75">
        <f t="shared" si="5"/>
        <v>6.0223078780402206</v>
      </c>
      <c r="E78" s="54">
        <f t="shared" si="6"/>
        <v>317.75027588979196</v>
      </c>
      <c r="F78" s="76">
        <f t="shared" si="20"/>
        <v>2577.9993882200506</v>
      </c>
      <c r="G78" s="77">
        <f t="shared" si="17"/>
        <v>325.0289117714949</v>
      </c>
      <c r="H78" s="79">
        <f t="shared" si="7"/>
        <v>2600.2312941719592</v>
      </c>
      <c r="I78" s="78">
        <f t="shared" si="18"/>
        <v>7.2786358817029395</v>
      </c>
      <c r="J78" s="76">
        <f t="shared" si="8"/>
        <v>55318.472222222219</v>
      </c>
      <c r="K78" s="80">
        <f t="shared" si="2"/>
        <v>130.46573422411544</v>
      </c>
      <c r="L78" s="78">
        <f t="shared" si="9"/>
        <v>8.3682921740645995</v>
      </c>
      <c r="M78" s="59">
        <f t="shared" si="3"/>
        <v>33717.620154929056</v>
      </c>
      <c r="N78" s="80">
        <f t="shared" si="10"/>
        <v>89036.092377151275</v>
      </c>
      <c r="O78" s="54">
        <f t="shared" si="11"/>
        <v>81349.66820091616</v>
      </c>
      <c r="P78" s="54">
        <f t="shared" si="12"/>
        <v>1482.6045823333334</v>
      </c>
      <c r="Q78" s="54">
        <f t="shared" si="13"/>
        <v>10791.338911348601</v>
      </c>
      <c r="R78" s="54">
        <f t="shared" si="14"/>
        <v>9859.7300987023864</v>
      </c>
      <c r="S78" s="54">
        <f t="shared" si="19"/>
        <v>-78244.753465802671</v>
      </c>
      <c r="T78" s="81">
        <f t="shared" si="15"/>
        <v>-71489.938102213768</v>
      </c>
      <c r="U78" s="82">
        <f t="shared" si="16"/>
        <v>2022</v>
      </c>
      <c r="V78" s="414">
        <v>0.66666666666666596</v>
      </c>
      <c r="W78" s="175"/>
      <c r="X78" s="182"/>
      <c r="Y78" s="165"/>
      <c r="Z78" s="182"/>
      <c r="AA78" s="182"/>
    </row>
    <row r="79" spans="1:47" s="113" customFormat="1" x14ac:dyDescent="0.2">
      <c r="A79" s="73">
        <v>9</v>
      </c>
      <c r="B79" s="74">
        <f t="shared" si="4"/>
        <v>249.35894592371113</v>
      </c>
      <c r="C79" s="75">
        <f t="shared" si="0"/>
        <v>58.502419386676422</v>
      </c>
      <c r="D79" s="75">
        <f t="shared" si="5"/>
        <v>7.865871514174982</v>
      </c>
      <c r="E79" s="54">
        <f t="shared" si="6"/>
        <v>315.72723682456251</v>
      </c>
      <c r="F79" s="76">
        <f t="shared" si="20"/>
        <v>2893.7266250446132</v>
      </c>
      <c r="G79" s="77">
        <f t="shared" si="17"/>
        <v>325.0289117714949</v>
      </c>
      <c r="H79" s="79">
        <f t="shared" si="7"/>
        <v>2925.2602059434539</v>
      </c>
      <c r="I79" s="78">
        <f t="shared" si="18"/>
        <v>9.3016749469323941</v>
      </c>
      <c r="J79" s="76">
        <f t="shared" si="8"/>
        <v>55318.472222222219</v>
      </c>
      <c r="K79" s="80">
        <f t="shared" si="2"/>
        <v>133.41543604193106</v>
      </c>
      <c r="L79" s="78">
        <f t="shared" si="9"/>
        <v>8.5574910222115612</v>
      </c>
      <c r="M79" s="59">
        <f t="shared" si="3"/>
        <v>34479.942354354709</v>
      </c>
      <c r="N79" s="80">
        <f t="shared" si="10"/>
        <v>89798.414576576935</v>
      </c>
      <c r="O79" s="54">
        <f t="shared" si="11"/>
        <v>81807.574228122976</v>
      </c>
      <c r="P79" s="54">
        <f t="shared" si="12"/>
        <v>1489.6515226666666</v>
      </c>
      <c r="Q79" s="54">
        <f t="shared" si="13"/>
        <v>13856.254248048226</v>
      </c>
      <c r="R79" s="54">
        <f t="shared" si="14"/>
        <v>12623.235646931169</v>
      </c>
      <c r="S79" s="54">
        <f t="shared" si="19"/>
        <v>-75942.160328528713</v>
      </c>
      <c r="T79" s="81">
        <f t="shared" si="15"/>
        <v>-69184.338581191798</v>
      </c>
      <c r="U79" s="82">
        <f t="shared" si="16"/>
        <v>2022</v>
      </c>
      <c r="V79" s="414">
        <v>0.75</v>
      </c>
      <c r="W79" s="177"/>
      <c r="X79" s="182"/>
      <c r="Y79" s="165"/>
      <c r="Z79" s="182"/>
      <c r="AA79" s="182"/>
    </row>
    <row r="80" spans="1:47" s="113" customFormat="1" x14ac:dyDescent="0.2">
      <c r="A80" s="73">
        <v>10</v>
      </c>
      <c r="B80" s="74">
        <f t="shared" si="4"/>
        <v>240.45326928357861</v>
      </c>
      <c r="C80" s="75">
        <f t="shared" si="0"/>
        <v>63.049876355808841</v>
      </c>
      <c r="D80" s="75">
        <f t="shared" si="5"/>
        <v>9.9552436351277116</v>
      </c>
      <c r="E80" s="54">
        <f t="shared" si="6"/>
        <v>313.45838927451518</v>
      </c>
      <c r="F80" s="76">
        <f t="shared" si="20"/>
        <v>3207.1850143191286</v>
      </c>
      <c r="G80" s="77">
        <f t="shared" si="17"/>
        <v>325.0289117714949</v>
      </c>
      <c r="H80" s="79">
        <f t="shared" si="7"/>
        <v>3250.2891177149486</v>
      </c>
      <c r="I80" s="78">
        <f t="shared" si="18"/>
        <v>11.57052249697972</v>
      </c>
      <c r="J80" s="76">
        <f t="shared" si="8"/>
        <v>55318.472222222219</v>
      </c>
      <c r="K80" s="80">
        <f t="shared" si="2"/>
        <v>136.36513785974668</v>
      </c>
      <c r="L80" s="78">
        <f t="shared" si="9"/>
        <v>8.7466898703585265</v>
      </c>
      <c r="M80" s="59">
        <f t="shared" si="3"/>
        <v>35242.264553780376</v>
      </c>
      <c r="N80" s="80">
        <f t="shared" si="10"/>
        <v>90560.736776002595</v>
      </c>
      <c r="O80" s="54">
        <f t="shared" si="11"/>
        <v>82262.128887125233</v>
      </c>
      <c r="P80" s="54">
        <f t="shared" si="12"/>
        <v>1496.6984629999997</v>
      </c>
      <c r="Q80" s="54">
        <f t="shared" si="13"/>
        <v>17317.583237336465</v>
      </c>
      <c r="R80" s="54">
        <f t="shared" si="14"/>
        <v>15730.67219855909</v>
      </c>
      <c r="S80" s="54">
        <f t="shared" si="19"/>
        <v>-73243.153538666127</v>
      </c>
      <c r="T80" s="81">
        <f t="shared" si="15"/>
        <v>-66531.456688566148</v>
      </c>
      <c r="U80" s="82">
        <f t="shared" si="16"/>
        <v>2022</v>
      </c>
      <c r="V80" s="414">
        <v>0.83333333333333304</v>
      </c>
      <c r="W80" s="182"/>
      <c r="X80" s="182"/>
      <c r="Y80" s="165"/>
      <c r="Z80" s="182"/>
      <c r="AA80" s="182"/>
    </row>
    <row r="81" spans="1:27" s="113" customFormat="1" x14ac:dyDescent="0.2">
      <c r="A81" s="73">
        <v>11</v>
      </c>
      <c r="B81" s="74">
        <f t="shared" si="4"/>
        <v>231.54759264344608</v>
      </c>
      <c r="C81" s="75">
        <f t="shared" si="0"/>
        <v>67.105716355305304</v>
      </c>
      <c r="D81" s="75">
        <f t="shared" si="5"/>
        <v>12.290424240898409</v>
      </c>
      <c r="E81" s="54">
        <f>SUM(B81:D81)</f>
        <v>310.94373323964982</v>
      </c>
      <c r="F81" s="76">
        <f t="shared" si="20"/>
        <v>3518.1287475587783</v>
      </c>
      <c r="G81" s="77">
        <f t="shared" si="17"/>
        <v>325.0289117714949</v>
      </c>
      <c r="H81" s="79">
        <f t="shared" si="7"/>
        <v>3575.3180294864433</v>
      </c>
      <c r="I81" s="78">
        <f t="shared" si="18"/>
        <v>14.085178531845088</v>
      </c>
      <c r="J81" s="76">
        <f t="shared" si="8"/>
        <v>55318.472222222219</v>
      </c>
      <c r="K81" s="80">
        <f t="shared" si="2"/>
        <v>139.3148396775623</v>
      </c>
      <c r="L81" s="78">
        <f t="shared" si="9"/>
        <v>8.93588871850549</v>
      </c>
      <c r="M81" s="59">
        <f t="shared" si="3"/>
        <v>36004.586753206029</v>
      </c>
      <c r="N81" s="80">
        <f t="shared" si="10"/>
        <v>91323.058975428256</v>
      </c>
      <c r="O81" s="54">
        <f t="shared" si="11"/>
        <v>82713.347797959781</v>
      </c>
      <c r="P81" s="54">
        <f t="shared" si="12"/>
        <v>1503.7454033333331</v>
      </c>
      <c r="Q81" s="54">
        <f t="shared" si="13"/>
        <v>21180.522472391396</v>
      </c>
      <c r="R81" s="54">
        <f t="shared" si="14"/>
        <v>19183.675420605312</v>
      </c>
      <c r="S81" s="54">
        <f t="shared" si="19"/>
        <v>-70142.536503036856</v>
      </c>
      <c r="T81" s="81">
        <f t="shared" si="15"/>
        <v>-63529.672377354458</v>
      </c>
      <c r="U81" s="82">
        <f t="shared" si="16"/>
        <v>2022</v>
      </c>
      <c r="V81" s="414">
        <v>0.91666666666666596</v>
      </c>
      <c r="W81" s="182"/>
      <c r="X81" s="182"/>
      <c r="Y81" s="165"/>
      <c r="Z81" s="182"/>
      <c r="AA81" s="182"/>
    </row>
    <row r="82" spans="1:27" s="113" customFormat="1" x14ac:dyDescent="0.2">
      <c r="A82" s="73">
        <v>12</v>
      </c>
      <c r="B82" s="74">
        <f t="shared" si="4"/>
        <v>222.64191600331355</v>
      </c>
      <c r="C82" s="75">
        <f t="shared" si="0"/>
        <v>70.669939385165847</v>
      </c>
      <c r="D82" s="75">
        <f t="shared" si="5"/>
        <v>14.871413331487075</v>
      </c>
      <c r="E82" s="54">
        <f t="shared" si="6"/>
        <v>308.18326871996646</v>
      </c>
      <c r="F82" s="76">
        <f t="shared" si="20"/>
        <v>3826.3120162787445</v>
      </c>
      <c r="G82" s="77">
        <f t="shared" si="17"/>
        <v>325.0289117714949</v>
      </c>
      <c r="H82" s="79">
        <f t="shared" si="7"/>
        <v>3900.3469412579379</v>
      </c>
      <c r="I82" s="78">
        <f t="shared" si="18"/>
        <v>16.845643051528441</v>
      </c>
      <c r="J82" s="76">
        <f t="shared" si="8"/>
        <v>55318.472222222219</v>
      </c>
      <c r="K82" s="80">
        <f t="shared" si="2"/>
        <v>142.26454149537793</v>
      </c>
      <c r="L82" s="78">
        <f t="shared" si="9"/>
        <v>9.1250875666524554</v>
      </c>
      <c r="M82" s="59">
        <f t="shared" si="3"/>
        <v>36766.908952631689</v>
      </c>
      <c r="N82" s="80">
        <f t="shared" si="10"/>
        <v>92085.381174853916</v>
      </c>
      <c r="O82" s="54">
        <f t="shared" si="11"/>
        <v>83161.246518155764</v>
      </c>
      <c r="P82" s="54">
        <f t="shared" si="12"/>
        <v>1510.7923436666663</v>
      </c>
      <c r="Q82" s="54">
        <f t="shared" si="13"/>
        <v>25450.268546390744</v>
      </c>
      <c r="R82" s="54">
        <f t="shared" si="14"/>
        <v>22983.844227357338</v>
      </c>
      <c r="S82" s="54">
        <f t="shared" si="19"/>
        <v>-66635.112628463175</v>
      </c>
      <c r="T82" s="81">
        <f t="shared" si="15"/>
        <v>-60177.402290798425</v>
      </c>
      <c r="U82" s="82">
        <f t="shared" si="16"/>
        <v>2022</v>
      </c>
      <c r="V82" s="414">
        <v>1</v>
      </c>
      <c r="W82" s="182"/>
      <c r="X82" s="182"/>
      <c r="Y82" s="165"/>
      <c r="Z82" s="182"/>
      <c r="AA82" s="182"/>
    </row>
    <row r="83" spans="1:27" s="113" customFormat="1" x14ac:dyDescent="0.2">
      <c r="A83" s="73">
        <v>13</v>
      </c>
      <c r="B83" s="74">
        <f t="shared" si="4"/>
        <v>213.736239363181</v>
      </c>
      <c r="C83" s="75">
        <f t="shared" si="0"/>
        <v>73.742545445390448</v>
      </c>
      <c r="D83" s="75">
        <f t="shared" si="5"/>
        <v>17.69821090689371</v>
      </c>
      <c r="E83" s="54">
        <f t="shared" si="6"/>
        <v>305.17699571546518</v>
      </c>
      <c r="F83" s="76">
        <f t="shared" si="20"/>
        <v>4131.4890119942102</v>
      </c>
      <c r="G83" s="77">
        <f t="shared" si="17"/>
        <v>325.0289117714949</v>
      </c>
      <c r="H83" s="79">
        <f t="shared" si="7"/>
        <v>4225.3758530294326</v>
      </c>
      <c r="I83" s="78">
        <f t="shared" si="18"/>
        <v>19.851916056029722</v>
      </c>
      <c r="J83" s="76">
        <f t="shared" si="8"/>
        <v>55318.472222222219</v>
      </c>
      <c r="K83" s="80">
        <f t="shared" si="2"/>
        <v>145.21424331319355</v>
      </c>
      <c r="L83" s="78">
        <f t="shared" si="9"/>
        <v>9.3142864147994207</v>
      </c>
      <c r="M83" s="59">
        <f t="shared" si="3"/>
        <v>37529.231152057342</v>
      </c>
      <c r="N83" s="80">
        <f t="shared" si="10"/>
        <v>92847.703374279561</v>
      </c>
      <c r="O83" s="54">
        <f t="shared" si="11"/>
        <v>83605.840542966296</v>
      </c>
      <c r="P83" s="54">
        <f t="shared" si="12"/>
        <v>1517.8392839999997</v>
      </c>
      <c r="Q83" s="54">
        <f t="shared" si="13"/>
        <v>30132.018052512252</v>
      </c>
      <c r="R83" s="54">
        <f t="shared" si="14"/>
        <v>27132.741090868891</v>
      </c>
      <c r="S83" s="54">
        <f t="shared" si="19"/>
        <v>-62715.685321767305</v>
      </c>
      <c r="T83" s="81">
        <f t="shared" si="15"/>
        <v>-56473.099452097398</v>
      </c>
      <c r="U83" s="376">
        <f t="shared" si="16"/>
        <v>2023</v>
      </c>
      <c r="V83" s="414">
        <v>1.0833333333333299</v>
      </c>
      <c r="W83" s="182"/>
      <c r="X83" s="182"/>
      <c r="Y83" s="165"/>
      <c r="Z83" s="182"/>
      <c r="AA83" s="182"/>
    </row>
    <row r="84" spans="1:27" s="113" customFormat="1" x14ac:dyDescent="0.2">
      <c r="A84" s="73">
        <v>14</v>
      </c>
      <c r="B84" s="74">
        <f t="shared" si="4"/>
        <v>204.83056272304844</v>
      </c>
      <c r="C84" s="75">
        <f t="shared" si="0"/>
        <v>76.323534535979121</v>
      </c>
      <c r="D84" s="75">
        <f t="shared" si="5"/>
        <v>20.770816967118311</v>
      </c>
      <c r="E84" s="54">
        <f t="shared" si="6"/>
        <v>301.92491422614592</v>
      </c>
      <c r="F84" s="76">
        <f t="shared" si="20"/>
        <v>4433.4139262203562</v>
      </c>
      <c r="G84" s="77">
        <f t="shared" si="17"/>
        <v>325.0289117714949</v>
      </c>
      <c r="H84" s="79">
        <f t="shared" si="7"/>
        <v>4550.4047648009273</v>
      </c>
      <c r="I84" s="78">
        <f t="shared" si="18"/>
        <v>23.103997545348989</v>
      </c>
      <c r="J84" s="76">
        <f t="shared" si="8"/>
        <v>55318.472222222219</v>
      </c>
      <c r="K84" s="80">
        <f t="shared" si="2"/>
        <v>148.16394513100914</v>
      </c>
      <c r="L84" s="78">
        <f t="shared" si="9"/>
        <v>9.5034852629463806</v>
      </c>
      <c r="M84" s="59">
        <f t="shared" si="3"/>
        <v>38291.553351482995</v>
      </c>
      <c r="N84" s="80">
        <f t="shared" si="10"/>
        <v>93610.025573705207</v>
      </c>
      <c r="O84" s="54">
        <f t="shared" si="11"/>
        <v>84047.14530559897</v>
      </c>
      <c r="P84" s="54">
        <f t="shared" si="12"/>
        <v>1524.8862243333331</v>
      </c>
      <c r="Q84" s="54">
        <f t="shared" si="13"/>
        <v>35230.967583933816</v>
      </c>
      <c r="R84" s="54">
        <f t="shared" si="14"/>
        <v>31631.892349525078</v>
      </c>
      <c r="S84" s="54">
        <f t="shared" si="19"/>
        <v>-58379.057989771391</v>
      </c>
      <c r="T84" s="81">
        <f t="shared" si="15"/>
        <v>-52415.252956073891</v>
      </c>
      <c r="U84" s="82">
        <f t="shared" si="16"/>
        <v>2023</v>
      </c>
      <c r="V84" s="414">
        <v>1.1666666666666601</v>
      </c>
      <c r="W84" s="182"/>
      <c r="X84" s="182"/>
      <c r="Y84" s="165"/>
      <c r="Z84" s="182"/>
      <c r="AA84" s="182"/>
    </row>
    <row r="85" spans="1:27" s="113" customFormat="1" x14ac:dyDescent="0.2">
      <c r="A85" s="73">
        <v>15</v>
      </c>
      <c r="B85" s="74">
        <f t="shared" si="4"/>
        <v>195.92488608291592</v>
      </c>
      <c r="C85" s="75">
        <f t="shared" si="0"/>
        <v>78.412906656931838</v>
      </c>
      <c r="D85" s="75">
        <f t="shared" si="5"/>
        <v>24.089231512160882</v>
      </c>
      <c r="E85" s="54">
        <f t="shared" si="6"/>
        <v>298.42702425200866</v>
      </c>
      <c r="F85" s="76">
        <f t="shared" si="20"/>
        <v>4731.840950472365</v>
      </c>
      <c r="G85" s="77">
        <f t="shared" si="17"/>
        <v>325.0289117714949</v>
      </c>
      <c r="H85" s="79">
        <f t="shared" si="7"/>
        <v>4875.433676572422</v>
      </c>
      <c r="I85" s="78">
        <f t="shared" si="18"/>
        <v>26.60188751948624</v>
      </c>
      <c r="J85" s="76">
        <f t="shared" si="8"/>
        <v>55318.472222222219</v>
      </c>
      <c r="K85" s="80">
        <f t="shared" si="2"/>
        <v>151.11364694882477</v>
      </c>
      <c r="L85" s="78">
        <f t="shared" si="9"/>
        <v>9.6926841110933459</v>
      </c>
      <c r="M85" s="59">
        <f t="shared" si="3"/>
        <v>39053.875550908648</v>
      </c>
      <c r="N85" s="80">
        <f t="shared" si="10"/>
        <v>94372.347773130867</v>
      </c>
      <c r="O85" s="54">
        <f t="shared" si="11"/>
        <v>84485.176177445755</v>
      </c>
      <c r="P85" s="54">
        <f t="shared" si="12"/>
        <v>1531.9331646666665</v>
      </c>
      <c r="Q85" s="54">
        <f t="shared" si="13"/>
        <v>40752.313733833253</v>
      </c>
      <c r="R85" s="54">
        <f t="shared" si="14"/>
        <v>36482.788514685082</v>
      </c>
      <c r="S85" s="54">
        <f t="shared" si="19"/>
        <v>-53620.034039297614</v>
      </c>
      <c r="T85" s="81">
        <f t="shared" si="15"/>
        <v>-48002.387662760681</v>
      </c>
      <c r="U85" s="82">
        <f t="shared" si="16"/>
        <v>2023</v>
      </c>
      <c r="V85" s="414">
        <v>1.25</v>
      </c>
      <c r="W85" s="182"/>
      <c r="X85" s="182"/>
      <c r="Y85" s="2"/>
      <c r="Z85" s="2"/>
      <c r="AA85" s="2"/>
    </row>
    <row r="86" spans="1:27" s="113" customFormat="1" x14ac:dyDescent="0.2">
      <c r="A86" s="73">
        <v>16</v>
      </c>
      <c r="B86" s="74">
        <f t="shared" si="4"/>
        <v>187.01920944278336</v>
      </c>
      <c r="C86" s="75">
        <f t="shared" si="0"/>
        <v>80.010661808248656</v>
      </c>
      <c r="D86" s="75">
        <f t="shared" si="5"/>
        <v>27.653454542021422</v>
      </c>
      <c r="E86" s="54">
        <f t="shared" si="6"/>
        <v>294.68332579305343</v>
      </c>
      <c r="F86" s="76">
        <f t="shared" si="20"/>
        <v>5026.5242762654179</v>
      </c>
      <c r="G86" s="77">
        <f t="shared" si="17"/>
        <v>325.0289117714949</v>
      </c>
      <c r="H86" s="79">
        <f t="shared" si="7"/>
        <v>5200.4625883439167</v>
      </c>
      <c r="I86" s="78">
        <f t="shared" si="18"/>
        <v>30.345585978441477</v>
      </c>
      <c r="J86" s="76">
        <f t="shared" si="8"/>
        <v>55318.472222222219</v>
      </c>
      <c r="K86" s="80">
        <f t="shared" si="2"/>
        <v>154.06334876664039</v>
      </c>
      <c r="L86" s="78">
        <f t="shared" si="9"/>
        <v>9.8818829592403095</v>
      </c>
      <c r="M86" s="59">
        <f t="shared" si="3"/>
        <v>39816.197750334315</v>
      </c>
      <c r="N86" s="80">
        <f t="shared" si="10"/>
        <v>95134.669972556527</v>
      </c>
      <c r="O86" s="54">
        <f t="shared" si="11"/>
        <v>84919.948468311966</v>
      </c>
      <c r="P86" s="54">
        <f t="shared" si="12"/>
        <v>1538.9801049999999</v>
      </c>
      <c r="Q86" s="54">
        <f t="shared" si="13"/>
        <v>46701.253095388391</v>
      </c>
      <c r="R86" s="54">
        <f t="shared" si="14"/>
        <v>41686.884575413045</v>
      </c>
      <c r="S86" s="54">
        <f t="shared" si="19"/>
        <v>-48433.416877168136</v>
      </c>
      <c r="T86" s="81">
        <f t="shared" si="15"/>
        <v>-43233.063892898928</v>
      </c>
      <c r="U86" s="82">
        <f t="shared" si="16"/>
        <v>2023</v>
      </c>
      <c r="V86" s="414">
        <v>1.3333333333333299</v>
      </c>
      <c r="W86" s="185"/>
      <c r="X86" s="185"/>
    </row>
    <row r="87" spans="1:27" s="113" customFormat="1" x14ac:dyDescent="0.2">
      <c r="A87" s="73">
        <v>17</v>
      </c>
      <c r="B87" s="74">
        <f t="shared" si="4"/>
        <v>178.11353280265081</v>
      </c>
      <c r="C87" s="75">
        <f t="shared" si="0"/>
        <v>81.116799989929504</v>
      </c>
      <c r="D87" s="75">
        <f t="shared" si="5"/>
        <v>31.463486056699928</v>
      </c>
      <c r="E87" s="54">
        <f t="shared" si="6"/>
        <v>290.69381884928026</v>
      </c>
      <c r="F87" s="76">
        <f t="shared" si="20"/>
        <v>5317.2180951146984</v>
      </c>
      <c r="G87" s="77">
        <f t="shared" si="17"/>
        <v>325.0289117714949</v>
      </c>
      <c r="H87" s="79">
        <f t="shared" si="7"/>
        <v>5525.4915001154113</v>
      </c>
      <c r="I87" s="78">
        <f t="shared" si="18"/>
        <v>34.335092922214642</v>
      </c>
      <c r="J87" s="76">
        <f t="shared" si="8"/>
        <v>55318.472222222219</v>
      </c>
      <c r="K87" s="80">
        <f t="shared" si="2"/>
        <v>157.01305058445601</v>
      </c>
      <c r="L87" s="78">
        <f t="shared" si="9"/>
        <v>10.071081807387275</v>
      </c>
      <c r="M87" s="59">
        <f t="shared" si="3"/>
        <v>40578.519949759968</v>
      </c>
      <c r="N87" s="80">
        <f t="shared" si="10"/>
        <v>95896.992171982187</v>
      </c>
      <c r="O87" s="54">
        <f t="shared" si="11"/>
        <v>85351.477426644546</v>
      </c>
      <c r="P87" s="54">
        <f t="shared" si="12"/>
        <v>1546.0270453333333</v>
      </c>
      <c r="Q87" s="54">
        <f t="shared" si="13"/>
        <v>53082.982261776946</v>
      </c>
      <c r="R87" s="54">
        <f t="shared" si="14"/>
        <v>47245.600301306913</v>
      </c>
      <c r="S87" s="54">
        <f t="shared" si="19"/>
        <v>-42814.009910205241</v>
      </c>
      <c r="T87" s="81">
        <f t="shared" si="15"/>
        <v>-38105.87712533764</v>
      </c>
      <c r="U87" s="82">
        <f t="shared" si="16"/>
        <v>2023</v>
      </c>
      <c r="V87" s="414">
        <v>1.4166666666666601</v>
      </c>
      <c r="W87" s="185"/>
      <c r="X87" s="185"/>
    </row>
    <row r="88" spans="1:27" s="113" customFormat="1" x14ac:dyDescent="0.2">
      <c r="A88" s="73">
        <v>18</v>
      </c>
      <c r="B88" s="74">
        <f t="shared" si="4"/>
        <v>169.20785616251828</v>
      </c>
      <c r="C88" s="75">
        <f t="shared" si="0"/>
        <v>81.731321201974424</v>
      </c>
      <c r="D88" s="75">
        <f t="shared" si="5"/>
        <v>35.519326056196405</v>
      </c>
      <c r="E88" s="54">
        <f t="shared" si="6"/>
        <v>286.45850342068911</v>
      </c>
      <c r="F88" s="76">
        <f t="shared" si="20"/>
        <v>5603.6765985353877</v>
      </c>
      <c r="G88" s="77">
        <f t="shared" si="17"/>
        <v>325.0289117714949</v>
      </c>
      <c r="H88" s="79">
        <f t="shared" si="7"/>
        <v>5850.520411886906</v>
      </c>
      <c r="I88" s="78">
        <f t="shared" si="18"/>
        <v>38.570408350805792</v>
      </c>
      <c r="J88" s="76">
        <f t="shared" si="8"/>
        <v>55318.472222222219</v>
      </c>
      <c r="K88" s="80">
        <f t="shared" si="2"/>
        <v>159.96275240227163</v>
      </c>
      <c r="L88" s="78">
        <f t="shared" si="9"/>
        <v>10.260280655534237</v>
      </c>
      <c r="M88" s="59">
        <f t="shared" si="3"/>
        <v>41340.842149185621</v>
      </c>
      <c r="N88" s="80">
        <f t="shared" si="10"/>
        <v>96659.314371407847</v>
      </c>
      <c r="O88" s="54">
        <f t="shared" si="11"/>
        <v>85779.77823975934</v>
      </c>
      <c r="P88" s="54">
        <f t="shared" si="12"/>
        <v>1553.0739856666664</v>
      </c>
      <c r="Q88" s="54">
        <f t="shared" si="13"/>
        <v>59902.697826176824</v>
      </c>
      <c r="R88" s="54">
        <f t="shared" si="14"/>
        <v>53160.320543435693</v>
      </c>
      <c r="S88" s="54">
        <f t="shared" si="19"/>
        <v>-36756.616545231023</v>
      </c>
      <c r="T88" s="81">
        <f t="shared" si="15"/>
        <v>-32619.457696323643</v>
      </c>
      <c r="U88" s="82">
        <f t="shared" si="16"/>
        <v>2023</v>
      </c>
      <c r="V88" s="414">
        <v>1.5</v>
      </c>
      <c r="W88" s="185"/>
      <c r="X88" s="185"/>
    </row>
    <row r="89" spans="1:27" s="113" customFormat="1" x14ac:dyDescent="0.2">
      <c r="A89" s="73">
        <v>19</v>
      </c>
      <c r="B89" s="74">
        <f t="shared" si="4"/>
        <v>160.30217952238576</v>
      </c>
      <c r="C89" s="75">
        <f t="shared" si="0"/>
        <v>81.854225444383403</v>
      </c>
      <c r="D89" s="75">
        <f t="shared" si="5"/>
        <v>39.820974540510846</v>
      </c>
      <c r="E89" s="54">
        <f t="shared" si="6"/>
        <v>281.97737950728003</v>
      </c>
      <c r="F89" s="76">
        <f t="shared" si="20"/>
        <v>5885.6539780426674</v>
      </c>
      <c r="G89" s="77">
        <f t="shared" si="17"/>
        <v>325.0289117714949</v>
      </c>
      <c r="H89" s="79">
        <f t="shared" si="7"/>
        <v>6175.5493236584007</v>
      </c>
      <c r="I89" s="78">
        <f t="shared" si="18"/>
        <v>43.05153226421487</v>
      </c>
      <c r="J89" s="76">
        <f t="shared" si="8"/>
        <v>55318.472222222219</v>
      </c>
      <c r="K89" s="80">
        <f t="shared" si="2"/>
        <v>162.91245422008726</v>
      </c>
      <c r="L89" s="78">
        <f t="shared" si="9"/>
        <v>10.449479503681202</v>
      </c>
      <c r="M89" s="59">
        <f t="shared" si="3"/>
        <v>42103.164348611281</v>
      </c>
      <c r="N89" s="80">
        <f t="shared" si="10"/>
        <v>97421.636570833507</v>
      </c>
      <c r="O89" s="54">
        <f t="shared" si="11"/>
        <v>86204.866034067789</v>
      </c>
      <c r="P89" s="54">
        <f t="shared" si="12"/>
        <v>1560.1209259999998</v>
      </c>
      <c r="Q89" s="54">
        <f t="shared" si="13"/>
        <v>67165.596381765776</v>
      </c>
      <c r="R89" s="54">
        <f t="shared" si="14"/>
        <v>59432.395533394498</v>
      </c>
      <c r="S89" s="54">
        <f t="shared" si="19"/>
        <v>-30256.040189067731</v>
      </c>
      <c r="T89" s="81">
        <f t="shared" si="15"/>
        <v>-26772.470500673298</v>
      </c>
      <c r="U89" s="82">
        <f t="shared" si="16"/>
        <v>2023</v>
      </c>
      <c r="V89" s="414">
        <v>1.5833333333333299</v>
      </c>
      <c r="W89" s="185"/>
      <c r="X89" s="185"/>
    </row>
    <row r="90" spans="1:27" s="113" customFormat="1" x14ac:dyDescent="0.2">
      <c r="A90" s="73">
        <v>20</v>
      </c>
      <c r="B90" s="74">
        <f t="shared" si="4"/>
        <v>151.3965028822532</v>
      </c>
      <c r="C90" s="75">
        <f t="shared" si="0"/>
        <v>81.485512717156453</v>
      </c>
      <c r="D90" s="75">
        <f t="shared" si="5"/>
        <v>44.368431509643258</v>
      </c>
      <c r="E90" s="54">
        <f t="shared" si="6"/>
        <v>277.25044710905291</v>
      </c>
      <c r="F90" s="76">
        <f t="shared" si="20"/>
        <v>6162.9044251517207</v>
      </c>
      <c r="G90" s="77">
        <f t="shared" si="17"/>
        <v>325.0289117714949</v>
      </c>
      <c r="H90" s="79">
        <f t="shared" si="7"/>
        <v>6500.5782354298954</v>
      </c>
      <c r="I90" s="78">
        <f t="shared" si="18"/>
        <v>47.778464662441991</v>
      </c>
      <c r="J90" s="76">
        <f t="shared" si="8"/>
        <v>55318.472222222219</v>
      </c>
      <c r="K90" s="80">
        <f t="shared" si="2"/>
        <v>165.86215603790288</v>
      </c>
      <c r="L90" s="78">
        <f t="shared" si="9"/>
        <v>10.638678351828165</v>
      </c>
      <c r="M90" s="59">
        <f t="shared" si="3"/>
        <v>42865.486548036934</v>
      </c>
      <c r="N90" s="80">
        <f t="shared" si="10"/>
        <v>98183.958770259153</v>
      </c>
      <c r="O90" s="54">
        <f t="shared" si="11"/>
        <v>86626.755875302741</v>
      </c>
      <c r="P90" s="54">
        <f t="shared" si="12"/>
        <v>1567.1678663333332</v>
      </c>
      <c r="Q90" s="54">
        <f t="shared" si="13"/>
        <v>74876.87452172178</v>
      </c>
      <c r="R90" s="54">
        <f t="shared" si="14"/>
        <v>66063.141180488252</v>
      </c>
      <c r="S90" s="54">
        <f t="shared" si="19"/>
        <v>-23307.084248537372</v>
      </c>
      <c r="T90" s="81">
        <f t="shared" si="15"/>
        <v>-20563.614694814485</v>
      </c>
      <c r="U90" s="82">
        <f t="shared" si="16"/>
        <v>2023</v>
      </c>
      <c r="V90" s="414">
        <v>1.6666666666666601</v>
      </c>
      <c r="W90" s="185"/>
      <c r="X90" s="185"/>
    </row>
    <row r="91" spans="1:27" s="113" customFormat="1" x14ac:dyDescent="0.2">
      <c r="A91" s="73">
        <v>21</v>
      </c>
      <c r="B91" s="74">
        <f t="shared" si="4"/>
        <v>142.49082624212065</v>
      </c>
      <c r="C91" s="75">
        <f t="shared" si="0"/>
        <v>80.625183020293562</v>
      </c>
      <c r="D91" s="75">
        <f t="shared" si="5"/>
        <v>49.161696963593634</v>
      </c>
      <c r="E91" s="54">
        <f t="shared" si="6"/>
        <v>272.27770622600781</v>
      </c>
      <c r="F91" s="76">
        <f t="shared" si="20"/>
        <v>6435.1821313777282</v>
      </c>
      <c r="G91" s="77">
        <f t="shared" si="17"/>
        <v>325.0289117714949</v>
      </c>
      <c r="H91" s="79">
        <f t="shared" si="7"/>
        <v>6825.60714720139</v>
      </c>
      <c r="I91" s="78">
        <f t="shared" si="18"/>
        <v>52.751205545487096</v>
      </c>
      <c r="J91" s="76">
        <f t="shared" si="8"/>
        <v>55318.472222222219</v>
      </c>
      <c r="K91" s="80">
        <f t="shared" si="2"/>
        <v>168.81185785571847</v>
      </c>
      <c r="L91" s="78">
        <f t="shared" si="9"/>
        <v>10.827877199975129</v>
      </c>
      <c r="M91" s="59">
        <f t="shared" si="3"/>
        <v>43627.808747462594</v>
      </c>
      <c r="N91" s="80">
        <f t="shared" si="10"/>
        <v>98946.280969684813</v>
      </c>
      <c r="O91" s="54">
        <f t="shared" si="11"/>
        <v>87045.462768743397</v>
      </c>
      <c r="P91" s="54">
        <f t="shared" si="12"/>
        <v>1574.2148066666666</v>
      </c>
      <c r="Q91" s="54">
        <f t="shared" si="13"/>
        <v>83041.72883922256</v>
      </c>
      <c r="R91" s="54">
        <f t="shared" si="14"/>
        <v>73053.839367052846</v>
      </c>
      <c r="S91" s="54">
        <f t="shared" si="19"/>
        <v>-15904.552130462253</v>
      </c>
      <c r="T91" s="81">
        <f t="shared" si="15"/>
        <v>-13991.623401690551</v>
      </c>
      <c r="U91" s="82">
        <f t="shared" si="16"/>
        <v>2023</v>
      </c>
      <c r="V91" s="414">
        <v>1.75</v>
      </c>
      <c r="W91" s="185"/>
      <c r="X91" s="185"/>
    </row>
    <row r="92" spans="1:27" s="113" customFormat="1" x14ac:dyDescent="0.2">
      <c r="A92" s="73">
        <v>22</v>
      </c>
      <c r="B92" s="74">
        <f t="shared" si="4"/>
        <v>133.58514960198812</v>
      </c>
      <c r="C92" s="75">
        <f t="shared" si="0"/>
        <v>79.273236353794729</v>
      </c>
      <c r="D92" s="75">
        <f t="shared" si="5"/>
        <v>54.200770902361988</v>
      </c>
      <c r="E92" s="54">
        <f t="shared" si="6"/>
        <v>267.05915685814483</v>
      </c>
      <c r="F92" s="76">
        <f t="shared" si="20"/>
        <v>6702.2412882358731</v>
      </c>
      <c r="G92" s="77">
        <f t="shared" si="17"/>
        <v>325.0289117714949</v>
      </c>
      <c r="H92" s="79">
        <f t="shared" si="7"/>
        <v>7150.6360589728847</v>
      </c>
      <c r="I92" s="78">
        <f t="shared" si="18"/>
        <v>57.969754913350073</v>
      </c>
      <c r="J92" s="76">
        <f t="shared" si="8"/>
        <v>55318.472222222219</v>
      </c>
      <c r="K92" s="80">
        <f t="shared" si="2"/>
        <v>171.76155967353409</v>
      </c>
      <c r="L92" s="78">
        <f t="shared" si="9"/>
        <v>11.017076048122092</v>
      </c>
      <c r="M92" s="59">
        <f t="shared" si="3"/>
        <v>44390.130946888239</v>
      </c>
      <c r="N92" s="80">
        <f t="shared" si="10"/>
        <v>99708.603169110458</v>
      </c>
      <c r="O92" s="54">
        <f t="shared" si="11"/>
        <v>87461.001659439455</v>
      </c>
      <c r="P92" s="54">
        <f t="shared" si="12"/>
        <v>1581.261747</v>
      </c>
      <c r="Q92" s="54">
        <f t="shared" si="13"/>
        <v>91665.355927445766</v>
      </c>
      <c r="R92" s="54">
        <f t="shared" si="14"/>
        <v>80405.73824192473</v>
      </c>
      <c r="S92" s="54">
        <f t="shared" si="19"/>
        <v>-8043.2472416646924</v>
      </c>
      <c r="T92" s="81">
        <f t="shared" si="15"/>
        <v>-7055.2634175147223</v>
      </c>
      <c r="U92" s="82">
        <f t="shared" si="16"/>
        <v>2023</v>
      </c>
      <c r="V92" s="414">
        <v>1.8333333333333299</v>
      </c>
      <c r="W92" s="185"/>
      <c r="X92" s="185"/>
    </row>
    <row r="93" spans="1:27" s="113" customFormat="1" x14ac:dyDescent="0.2">
      <c r="A93" s="73">
        <v>23</v>
      </c>
      <c r="B93" s="74">
        <f t="shared" si="4"/>
        <v>124.67947296185557</v>
      </c>
      <c r="C93" s="75">
        <f t="shared" si="0"/>
        <v>77.429672717659983</v>
      </c>
      <c r="D93" s="75">
        <f t="shared" si="5"/>
        <v>59.485653325948299</v>
      </c>
      <c r="E93" s="54">
        <f t="shared" si="6"/>
        <v>261.59479900546387</v>
      </c>
      <c r="F93" s="76">
        <f t="shared" si="20"/>
        <v>6963.8360872413368</v>
      </c>
      <c r="G93" s="77">
        <f t="shared" si="17"/>
        <v>325.0289117714949</v>
      </c>
      <c r="H93" s="79">
        <f t="shared" si="7"/>
        <v>7475.6649707443794</v>
      </c>
      <c r="I93" s="78">
        <f t="shared" si="18"/>
        <v>63.434112766031035</v>
      </c>
      <c r="J93" s="76">
        <f t="shared" si="8"/>
        <v>55318.472222222219</v>
      </c>
      <c r="K93" s="80">
        <f t="shared" si="2"/>
        <v>174.71126149134972</v>
      </c>
      <c r="L93" s="78">
        <f t="shared" si="9"/>
        <v>11.206274896269056</v>
      </c>
      <c r="M93" s="59">
        <f t="shared" si="3"/>
        <v>45152.453146313899</v>
      </c>
      <c r="N93" s="80">
        <f t="shared" si="10"/>
        <v>100470.92536853612</v>
      </c>
      <c r="O93" s="54">
        <f t="shared" si="11"/>
        <v>87873.387432434698</v>
      </c>
      <c r="P93" s="54">
        <f t="shared" si="12"/>
        <v>1588.3086873333332</v>
      </c>
      <c r="Q93" s="54">
        <f t="shared" si="13"/>
        <v>100752.95237956938</v>
      </c>
      <c r="R93" s="54">
        <f t="shared" si="14"/>
        <v>88120.052512068753</v>
      </c>
      <c r="S93" s="54">
        <f t="shared" si="19"/>
        <v>282.02701103326399</v>
      </c>
      <c r="T93" s="81">
        <f t="shared" si="15"/>
        <v>246.6650796340588</v>
      </c>
      <c r="U93" s="82">
        <f t="shared" si="16"/>
        <v>2023</v>
      </c>
      <c r="V93" s="414">
        <v>1.9166666666666601</v>
      </c>
      <c r="W93" s="185"/>
      <c r="X93" s="185"/>
    </row>
    <row r="94" spans="1:27" s="113" customFormat="1" x14ac:dyDescent="0.2">
      <c r="A94" s="73">
        <v>24</v>
      </c>
      <c r="B94" s="74">
        <f t="shared" si="4"/>
        <v>115.77379632172304</v>
      </c>
      <c r="C94" s="75">
        <f t="shared" si="0"/>
        <v>75.094492111889281</v>
      </c>
      <c r="D94" s="75">
        <f t="shared" si="5"/>
        <v>65.016344234352587</v>
      </c>
      <c r="E94" s="54">
        <f t="shared" si="6"/>
        <v>255.88463266796492</v>
      </c>
      <c r="F94" s="76">
        <f t="shared" si="20"/>
        <v>7219.7207199093018</v>
      </c>
      <c r="G94" s="77">
        <f t="shared" si="17"/>
        <v>325.0289117714949</v>
      </c>
      <c r="H94" s="79">
        <f t="shared" si="7"/>
        <v>7800.6938825158741</v>
      </c>
      <c r="I94" s="78">
        <f t="shared" si="18"/>
        <v>69.144279103529982</v>
      </c>
      <c r="J94" s="76">
        <f t="shared" si="8"/>
        <v>55318.472222222219</v>
      </c>
      <c r="K94" s="80">
        <f t="shared" si="2"/>
        <v>177.66096330916534</v>
      </c>
      <c r="L94" s="78">
        <f t="shared" si="9"/>
        <v>11.395473744416021</v>
      </c>
      <c r="M94" s="59">
        <f t="shared" si="3"/>
        <v>45914.775345739552</v>
      </c>
      <c r="N94" s="80">
        <f t="shared" si="10"/>
        <v>101233.24756796178</v>
      </c>
      <c r="O94" s="54">
        <f t="shared" si="11"/>
        <v>88282.634912989408</v>
      </c>
      <c r="P94" s="54">
        <f t="shared" si="12"/>
        <v>1595.3556276666666</v>
      </c>
      <c r="Q94" s="54">
        <f t="shared" si="13"/>
        <v>110309.71478877125</v>
      </c>
      <c r="R94" s="54">
        <f t="shared" si="14"/>
        <v>96197.963732372562</v>
      </c>
      <c r="S94" s="54">
        <f t="shared" si="19"/>
        <v>9076.4672208094707</v>
      </c>
      <c r="T94" s="81">
        <f t="shared" si="15"/>
        <v>7915.3288193831604</v>
      </c>
      <c r="U94" s="82">
        <f t="shared" si="16"/>
        <v>2023</v>
      </c>
      <c r="V94" s="414">
        <v>2</v>
      </c>
      <c r="W94" s="185"/>
      <c r="X94" s="185"/>
    </row>
    <row r="95" spans="1:27" s="113" customFormat="1" x14ac:dyDescent="0.2">
      <c r="A95" s="73">
        <v>25</v>
      </c>
      <c r="B95" s="74">
        <f t="shared" si="4"/>
        <v>106.8681196815905</v>
      </c>
      <c r="C95" s="75">
        <f t="shared" si="0"/>
        <v>72.267694536482637</v>
      </c>
      <c r="D95" s="75">
        <f t="shared" si="5"/>
        <v>70.79284362757484</v>
      </c>
      <c r="E95" s="54">
        <f t="shared" si="6"/>
        <v>249.92865784564799</v>
      </c>
      <c r="F95" s="76">
        <f t="shared" si="20"/>
        <v>7469.6493777549495</v>
      </c>
      <c r="G95" s="77">
        <f t="shared" si="17"/>
        <v>325.0289117714949</v>
      </c>
      <c r="H95" s="79">
        <f t="shared" si="7"/>
        <v>8125.7227942873687</v>
      </c>
      <c r="I95" s="78">
        <f t="shared" si="18"/>
        <v>75.100253925846914</v>
      </c>
      <c r="J95" s="76">
        <f t="shared" si="8"/>
        <v>55318.472222222219</v>
      </c>
      <c r="K95" s="80">
        <f t="shared" si="2"/>
        <v>180.61066512698096</v>
      </c>
      <c r="L95" s="78">
        <f t="shared" si="9"/>
        <v>11.584672592562985</v>
      </c>
      <c r="M95" s="59">
        <f t="shared" si="3"/>
        <v>46677.097545165212</v>
      </c>
      <c r="N95" s="80">
        <f t="shared" si="10"/>
        <v>101995.56976738744</v>
      </c>
      <c r="O95" s="54">
        <f t="shared" si="11"/>
        <v>88688.758866802382</v>
      </c>
      <c r="P95" s="54">
        <f t="shared" si="12"/>
        <v>1602.4025679999997</v>
      </c>
      <c r="Q95" s="54">
        <f t="shared" si="13"/>
        <v>120340.83974822916</v>
      </c>
      <c r="R95" s="54">
        <f t="shared" si="14"/>
        <v>104640.62059361918</v>
      </c>
      <c r="S95" s="54">
        <f t="shared" si="19"/>
        <v>18345.269980841724</v>
      </c>
      <c r="T95" s="81">
        <f t="shared" si="15"/>
        <v>15951.861726816796</v>
      </c>
      <c r="U95" s="376">
        <f t="shared" si="16"/>
        <v>2024</v>
      </c>
      <c r="V95" s="414">
        <v>2.0833333333333299</v>
      </c>
      <c r="W95" s="185"/>
      <c r="X95" s="185"/>
    </row>
    <row r="96" spans="1:27" s="113" customFormat="1" x14ac:dyDescent="0.2">
      <c r="A96" s="73">
        <v>26</v>
      </c>
      <c r="B96" s="74">
        <f t="shared" si="4"/>
        <v>97.962443041457959</v>
      </c>
      <c r="C96" s="75">
        <f t="shared" si="0"/>
        <v>68.949279991440065</v>
      </c>
      <c r="D96" s="75">
        <f t="shared" si="5"/>
        <v>76.815151505615063</v>
      </c>
      <c r="E96" s="54">
        <f t="shared" si="6"/>
        <v>243.72687453851307</v>
      </c>
      <c r="F96" s="76">
        <f t="shared" si="20"/>
        <v>7713.3762522934621</v>
      </c>
      <c r="G96" s="77">
        <f t="shared" si="17"/>
        <v>325.0289117714949</v>
      </c>
      <c r="H96" s="79">
        <f t="shared" si="7"/>
        <v>8450.7517060588634</v>
      </c>
      <c r="I96" s="78">
        <f t="shared" si="18"/>
        <v>81.302037232981831</v>
      </c>
      <c r="J96" s="76">
        <f t="shared" si="8"/>
        <v>55318.472222222219</v>
      </c>
      <c r="K96" s="80">
        <f t="shared" si="2"/>
        <v>183.56036694479656</v>
      </c>
      <c r="L96" s="78">
        <f t="shared" si="9"/>
        <v>11.773871440709948</v>
      </c>
      <c r="M96" s="59">
        <f t="shared" si="3"/>
        <v>47439.419744590872</v>
      </c>
      <c r="N96" s="80">
        <f t="shared" si="10"/>
        <v>102757.8919668131</v>
      </c>
      <c r="O96" s="54">
        <f t="shared" si="11"/>
        <v>89091.774000231788</v>
      </c>
      <c r="P96" s="54">
        <f t="shared" si="12"/>
        <v>1609.4495083333329</v>
      </c>
      <c r="Q96" s="54">
        <f t="shared" si="13"/>
        <v>130851.52385112093</v>
      </c>
      <c r="R96" s="54">
        <f t="shared" si="14"/>
        <v>113449.1392086462</v>
      </c>
      <c r="S96" s="54">
        <f t="shared" si="19"/>
        <v>28093.631884307833</v>
      </c>
      <c r="T96" s="81">
        <f t="shared" si="15"/>
        <v>24357.365208414405</v>
      </c>
      <c r="U96" s="82">
        <f t="shared" si="16"/>
        <v>2024</v>
      </c>
      <c r="V96" s="414">
        <v>2.1666666666666599</v>
      </c>
      <c r="W96" s="185"/>
      <c r="X96" s="185"/>
    </row>
    <row r="97" spans="1:24" s="113" customFormat="1" x14ac:dyDescent="0.2">
      <c r="A97" s="73">
        <v>27</v>
      </c>
      <c r="B97" s="74">
        <f t="shared" si="4"/>
        <v>89.056766401325405</v>
      </c>
      <c r="C97" s="75">
        <f t="shared" si="0"/>
        <v>65.139248476761566</v>
      </c>
      <c r="D97" s="75">
        <f t="shared" si="5"/>
        <v>83.083267868473243</v>
      </c>
      <c r="E97" s="54">
        <f t="shared" si="6"/>
        <v>237.27928274656023</v>
      </c>
      <c r="F97" s="76">
        <f t="shared" si="20"/>
        <v>7950.6555350400222</v>
      </c>
      <c r="G97" s="77">
        <f t="shared" si="17"/>
        <v>325.0289117714949</v>
      </c>
      <c r="H97" s="79">
        <f t="shared" si="7"/>
        <v>8775.7806178303581</v>
      </c>
      <c r="I97" s="78">
        <f t="shared" si="18"/>
        <v>87.749629024934677</v>
      </c>
      <c r="J97" s="76">
        <f t="shared" si="8"/>
        <v>55318.472222222219</v>
      </c>
      <c r="K97" s="80">
        <f t="shared" si="2"/>
        <v>186.51006876261221</v>
      </c>
      <c r="L97" s="78">
        <f t="shared" si="9"/>
        <v>11.963070288856912</v>
      </c>
      <c r="M97" s="59">
        <f t="shared" si="3"/>
        <v>48201.741944016525</v>
      </c>
      <c r="N97" s="80">
        <f t="shared" si="10"/>
        <v>103520.21416623874</v>
      </c>
      <c r="O97" s="54">
        <f t="shared" si="11"/>
        <v>89491.694960515597</v>
      </c>
      <c r="P97" s="54">
        <f t="shared" si="12"/>
        <v>1616.4964486666663</v>
      </c>
      <c r="Q97" s="54">
        <f t="shared" si="13"/>
        <v>141846.96369062434</v>
      </c>
      <c r="R97" s="54">
        <f t="shared" si="14"/>
        <v>122624.60339670206</v>
      </c>
      <c r="S97" s="54">
        <f t="shared" si="19"/>
        <v>38326.749524385596</v>
      </c>
      <c r="T97" s="81">
        <f t="shared" si="15"/>
        <v>33132.908436186473</v>
      </c>
      <c r="U97" s="82">
        <f t="shared" si="16"/>
        <v>2024</v>
      </c>
      <c r="V97" s="414">
        <v>2.25</v>
      </c>
      <c r="W97" s="185"/>
      <c r="X97" s="185"/>
    </row>
    <row r="98" spans="1:24" s="113" customFormat="1" x14ac:dyDescent="0.2">
      <c r="A98" s="73">
        <v>28</v>
      </c>
      <c r="B98" s="74">
        <f t="shared" si="4"/>
        <v>80.151089761192878</v>
      </c>
      <c r="C98" s="75">
        <f t="shared" si="0"/>
        <v>60.837599992447124</v>
      </c>
      <c r="D98" s="75">
        <f t="shared" si="5"/>
        <v>89.597192716149408</v>
      </c>
      <c r="E98" s="54">
        <f t="shared" si="6"/>
        <v>230.58588246978942</v>
      </c>
      <c r="F98" s="76">
        <f t="shared" si="20"/>
        <v>8181.241417509812</v>
      </c>
      <c r="G98" s="77">
        <f t="shared" si="17"/>
        <v>325.0289117714949</v>
      </c>
      <c r="H98" s="79">
        <f t="shared" si="7"/>
        <v>9100.8095296018528</v>
      </c>
      <c r="I98" s="78">
        <f t="shared" si="18"/>
        <v>94.443029301705479</v>
      </c>
      <c r="J98" s="76">
        <f t="shared" si="8"/>
        <v>55318.472222222219</v>
      </c>
      <c r="K98" s="80">
        <f t="shared" si="2"/>
        <v>189.4597705804278</v>
      </c>
      <c r="L98" s="78">
        <f t="shared" si="9"/>
        <v>12.152269137003875</v>
      </c>
      <c r="M98" s="59">
        <f t="shared" si="3"/>
        <v>48964.064143442178</v>
      </c>
      <c r="N98" s="80">
        <f t="shared" si="10"/>
        <v>104282.53636566439</v>
      </c>
      <c r="O98" s="54">
        <f t="shared" si="11"/>
        <v>89888.536335990953</v>
      </c>
      <c r="P98" s="54">
        <f t="shared" si="12"/>
        <v>1623.5433889999997</v>
      </c>
      <c r="Q98" s="54">
        <f t="shared" si="13"/>
        <v>153332.35585991718</v>
      </c>
      <c r="R98" s="54">
        <f t="shared" si="14"/>
        <v>132168.06496600836</v>
      </c>
      <c r="S98" s="54">
        <f t="shared" si="19"/>
        <v>49049.819494252792</v>
      </c>
      <c r="T98" s="81">
        <f t="shared" si="15"/>
        <v>42279.528630017412</v>
      </c>
      <c r="U98" s="82">
        <f t="shared" si="16"/>
        <v>2024</v>
      </c>
      <c r="V98" s="414">
        <v>2.3333333333333299</v>
      </c>
      <c r="W98" s="185"/>
      <c r="X98" s="185"/>
    </row>
    <row r="99" spans="1:24" s="113" customFormat="1" x14ac:dyDescent="0.2">
      <c r="A99" s="73">
        <v>29</v>
      </c>
      <c r="B99" s="74">
        <f t="shared" si="4"/>
        <v>71.245413121060324</v>
      </c>
      <c r="C99" s="75">
        <f t="shared" si="0"/>
        <v>56.044334538496742</v>
      </c>
      <c r="D99" s="75">
        <f t="shared" si="5"/>
        <v>96.35692604864353</v>
      </c>
      <c r="E99" s="54">
        <f t="shared" si="6"/>
        <v>223.64667370820058</v>
      </c>
      <c r="F99" s="76">
        <f t="shared" si="20"/>
        <v>8404.8880912180121</v>
      </c>
      <c r="G99" s="77">
        <f t="shared" si="17"/>
        <v>325.0289117714949</v>
      </c>
      <c r="H99" s="79">
        <f t="shared" si="7"/>
        <v>9425.8384413733475</v>
      </c>
      <c r="I99" s="78">
        <f t="shared" si="18"/>
        <v>101.38223806329432</v>
      </c>
      <c r="J99" s="76">
        <f t="shared" si="8"/>
        <v>55318.472222222219</v>
      </c>
      <c r="K99" s="80">
        <f t="shared" si="2"/>
        <v>192.40947239824342</v>
      </c>
      <c r="L99" s="78">
        <f t="shared" si="9"/>
        <v>12.341467985150839</v>
      </c>
      <c r="M99" s="59">
        <f t="shared" si="3"/>
        <v>49726.386342867845</v>
      </c>
      <c r="N99" s="80">
        <f t="shared" si="10"/>
        <v>105044.85856509006</v>
      </c>
      <c r="O99" s="54">
        <f t="shared" si="11"/>
        <v>90282.312656313094</v>
      </c>
      <c r="P99" s="54">
        <f t="shared" si="12"/>
        <v>1630.5903293333331</v>
      </c>
      <c r="Q99" s="54">
        <f t="shared" si="13"/>
        <v>165312.89695217746</v>
      </c>
      <c r="R99" s="54">
        <f t="shared" si="14"/>
        <v>142080.54399453849</v>
      </c>
      <c r="S99" s="54">
        <f t="shared" si="19"/>
        <v>60268.038387087392</v>
      </c>
      <c r="T99" s="81">
        <f t="shared" si="15"/>
        <v>51798.2313382254</v>
      </c>
      <c r="U99" s="82">
        <f t="shared" si="16"/>
        <v>2024</v>
      </c>
      <c r="V99" s="414">
        <v>2.4166666666666599</v>
      </c>
      <c r="W99" s="185"/>
      <c r="X99" s="185"/>
    </row>
    <row r="100" spans="1:24" s="113" customFormat="1" x14ac:dyDescent="0.2">
      <c r="A100" s="256">
        <v>30</v>
      </c>
      <c r="B100" s="257">
        <f t="shared" si="4"/>
        <v>62.339736480927783</v>
      </c>
      <c r="C100" s="258">
        <f t="shared" si="0"/>
        <v>50.759452114910431</v>
      </c>
      <c r="D100" s="258">
        <f t="shared" si="5"/>
        <v>103.36246786595562</v>
      </c>
      <c r="E100" s="59">
        <f t="shared" si="6"/>
        <v>216.46165646179384</v>
      </c>
      <c r="F100" s="259">
        <f t="shared" si="20"/>
        <v>8621.3497476798057</v>
      </c>
      <c r="G100" s="77">
        <f t="shared" si="17"/>
        <v>325.0289117714949</v>
      </c>
      <c r="H100" s="260">
        <f t="shared" si="7"/>
        <v>9750.8673531448421</v>
      </c>
      <c r="I100" s="261">
        <f t="shared" si="18"/>
        <v>108.56725530970107</v>
      </c>
      <c r="J100" s="259">
        <f t="shared" si="8"/>
        <v>55318.472222222219</v>
      </c>
      <c r="K100" s="262">
        <f t="shared" si="2"/>
        <v>195.35917421605905</v>
      </c>
      <c r="L100" s="78">
        <f t="shared" si="9"/>
        <v>12.530666833297804</v>
      </c>
      <c r="M100" s="59">
        <f t="shared" si="3"/>
        <v>50488.708542293498</v>
      </c>
      <c r="N100" s="262">
        <f t="shared" si="10"/>
        <v>105807.18076451571</v>
      </c>
      <c r="O100" s="54">
        <f t="shared" si="11"/>
        <v>90673.038392672868</v>
      </c>
      <c r="P100" s="59">
        <f t="shared" si="12"/>
        <v>1637.6372696666665</v>
      </c>
      <c r="Q100" s="54">
        <f t="shared" si="13"/>
        <v>177793.78356058276</v>
      </c>
      <c r="R100" s="54">
        <f t="shared" si="14"/>
        <v>152363.0291090204</v>
      </c>
      <c r="S100" s="59">
        <f t="shared" si="19"/>
        <v>71986.602796067047</v>
      </c>
      <c r="T100" s="81">
        <f t="shared" si="15"/>
        <v>61689.990716347529</v>
      </c>
      <c r="U100" s="82">
        <f t="shared" si="16"/>
        <v>2024</v>
      </c>
      <c r="V100" s="414">
        <v>2.5</v>
      </c>
      <c r="W100" s="185"/>
      <c r="X100" s="185"/>
    </row>
    <row r="101" spans="1:24" s="113" customFormat="1" x14ac:dyDescent="0.2">
      <c r="A101" s="73">
        <v>31</v>
      </c>
      <c r="B101" s="74">
        <f t="shared" si="4"/>
        <v>53.43405984079525</v>
      </c>
      <c r="C101" s="75">
        <f t="shared" si="0"/>
        <v>44.982952721688179</v>
      </c>
      <c r="D101" s="75">
        <f t="shared" si="5"/>
        <v>110.61381816808569</v>
      </c>
      <c r="E101" s="54">
        <f t="shared" si="6"/>
        <v>209.03083073056911</v>
      </c>
      <c r="F101" s="76">
        <f t="shared" si="20"/>
        <v>8830.3805784103752</v>
      </c>
      <c r="G101" s="77">
        <f t="shared" si="17"/>
        <v>325.0289117714949</v>
      </c>
      <c r="H101" s="79">
        <f t="shared" si="7"/>
        <v>10075.896264916337</v>
      </c>
      <c r="I101" s="78">
        <f t="shared" si="18"/>
        <v>115.9980810409258</v>
      </c>
      <c r="J101" s="76">
        <f t="shared" si="8"/>
        <v>55318.472222222219</v>
      </c>
      <c r="K101" s="80">
        <f t="shared" si="2"/>
        <v>198.30887603387464</v>
      </c>
      <c r="L101" s="78">
        <f t="shared" si="9"/>
        <v>12.719865681444766</v>
      </c>
      <c r="M101" s="59">
        <f t="shared" si="3"/>
        <v>51251.030741719136</v>
      </c>
      <c r="N101" s="80">
        <f t="shared" si="10"/>
        <v>106569.50296394136</v>
      </c>
      <c r="O101" s="54">
        <f t="shared" si="11"/>
        <v>91060.727958014366</v>
      </c>
      <c r="P101" s="54">
        <f t="shared" si="12"/>
        <v>1644.6842099999997</v>
      </c>
      <c r="Q101" s="54">
        <f t="shared" si="13"/>
        <v>190780.212278311</v>
      </c>
      <c r="R101" s="54">
        <f t="shared" si="14"/>
        <v>163016.47776217613</v>
      </c>
      <c r="S101" s="54">
        <f t="shared" si="19"/>
        <v>84210.70931436964</v>
      </c>
      <c r="T101" s="81">
        <f t="shared" si="15"/>
        <v>71955.749804161765</v>
      </c>
      <c r="U101" s="82">
        <f t="shared" si="16"/>
        <v>2024</v>
      </c>
      <c r="V101" s="414">
        <v>2.5833333333333299</v>
      </c>
      <c r="W101" s="185"/>
      <c r="X101" s="185"/>
    </row>
    <row r="102" spans="1:24" s="113" customFormat="1" x14ac:dyDescent="0.2">
      <c r="A102" s="73">
        <v>32</v>
      </c>
      <c r="B102" s="74">
        <f t="shared" si="4"/>
        <v>44.528383200662702</v>
      </c>
      <c r="C102" s="75">
        <f t="shared" si="0"/>
        <v>38.714836358829992</v>
      </c>
      <c r="D102" s="75">
        <f t="shared" si="5"/>
        <v>118.11097695503372</v>
      </c>
      <c r="E102" s="54">
        <f t="shared" si="6"/>
        <v>201.35419651452642</v>
      </c>
      <c r="F102" s="76">
        <f t="shared" si="20"/>
        <v>9031.734774924902</v>
      </c>
      <c r="G102" s="77">
        <f t="shared" si="17"/>
        <v>325.0289117714949</v>
      </c>
      <c r="H102" s="79">
        <f t="shared" si="7"/>
        <v>10400.925176687831</v>
      </c>
      <c r="I102" s="78">
        <f t="shared" si="18"/>
        <v>123.67471525696848</v>
      </c>
      <c r="J102" s="76">
        <f t="shared" si="8"/>
        <v>55318.472222222219</v>
      </c>
      <c r="K102" s="80">
        <f t="shared" si="2"/>
        <v>201.25857785169029</v>
      </c>
      <c r="L102" s="78">
        <f t="shared" si="9"/>
        <v>12.909064529591731</v>
      </c>
      <c r="M102" s="59">
        <f t="shared" si="3"/>
        <v>52013.352941144803</v>
      </c>
      <c r="N102" s="80">
        <f t="shared" si="10"/>
        <v>107331.82516336703</v>
      </c>
      <c r="O102" s="54">
        <f t="shared" si="11"/>
        <v>91445.395707250995</v>
      </c>
      <c r="P102" s="54">
        <f t="shared" si="12"/>
        <v>1651.7311503333331</v>
      </c>
      <c r="Q102" s="54">
        <f t="shared" si="13"/>
        <v>204277.37969853997</v>
      </c>
      <c r="R102" s="54">
        <f t="shared" si="14"/>
        <v>174041.81650820392</v>
      </c>
      <c r="S102" s="54">
        <f t="shared" si="19"/>
        <v>96945.554535172938</v>
      </c>
      <c r="T102" s="81">
        <f t="shared" si="15"/>
        <v>82596.420800952925</v>
      </c>
      <c r="U102" s="82">
        <f t="shared" si="16"/>
        <v>2024</v>
      </c>
      <c r="V102" s="414">
        <v>2.6666666666666599</v>
      </c>
      <c r="W102" s="185"/>
      <c r="X102" s="185"/>
    </row>
    <row r="103" spans="1:24" s="113" customFormat="1" x14ac:dyDescent="0.2">
      <c r="A103" s="73">
        <v>33</v>
      </c>
      <c r="B103" s="74">
        <f t="shared" si="4"/>
        <v>35.622706560530162</v>
      </c>
      <c r="C103" s="75">
        <f t="shared" si="0"/>
        <v>31.955103026335866</v>
      </c>
      <c r="D103" s="75">
        <f t="shared" si="5"/>
        <v>125.85394422679971</v>
      </c>
      <c r="E103" s="54">
        <f t="shared" si="6"/>
        <v>193.43175381366575</v>
      </c>
      <c r="F103" s="76">
        <f t="shared" si="20"/>
        <v>9225.1665287385676</v>
      </c>
      <c r="G103" s="77">
        <f t="shared" si="17"/>
        <v>325.0289117714949</v>
      </c>
      <c r="H103" s="79">
        <f t="shared" si="7"/>
        <v>10725.954088459326</v>
      </c>
      <c r="I103" s="78">
        <f t="shared" si="18"/>
        <v>131.59715795782915</v>
      </c>
      <c r="J103" s="76">
        <f t="shared" si="8"/>
        <v>55318.472222222219</v>
      </c>
      <c r="K103" s="80">
        <f t="shared" si="2"/>
        <v>204.20827966950588</v>
      </c>
      <c r="L103" s="78">
        <f t="shared" si="9"/>
        <v>13.098263377738695</v>
      </c>
      <c r="M103" s="59">
        <f t="shared" si="3"/>
        <v>52775.675140570464</v>
      </c>
      <c r="N103" s="80">
        <f t="shared" si="10"/>
        <v>108094.14736279269</v>
      </c>
      <c r="O103" s="54">
        <f t="shared" si="11"/>
        <v>91827.055937481273</v>
      </c>
      <c r="P103" s="54">
        <f t="shared" si="12"/>
        <v>1658.7780906666665</v>
      </c>
      <c r="Q103" s="54">
        <f t="shared" si="13"/>
        <v>218290.48241444756</v>
      </c>
      <c r="R103" s="54">
        <f t="shared" si="14"/>
        <v>185439.94127651511</v>
      </c>
      <c r="S103" s="54">
        <f t="shared" ref="S103:S134" si="21">Q103-N103</f>
        <v>110196.33505165487</v>
      </c>
      <c r="T103" s="81">
        <f t="shared" si="15"/>
        <v>93612.885339033848</v>
      </c>
      <c r="U103" s="82">
        <f t="shared" si="16"/>
        <v>2024</v>
      </c>
      <c r="V103" s="414">
        <v>2.75</v>
      </c>
      <c r="W103" s="185"/>
      <c r="X103" s="185"/>
    </row>
    <row r="104" spans="1:24" s="113" customFormat="1" x14ac:dyDescent="0.2">
      <c r="A104" s="73">
        <v>34</v>
      </c>
      <c r="B104" s="74">
        <f t="shared" si="4"/>
        <v>26.717029920397625</v>
      </c>
      <c r="C104" s="75">
        <f t="shared" si="0"/>
        <v>24.703752724205803</v>
      </c>
      <c r="D104" s="75">
        <f t="shared" si="5"/>
        <v>133.84271998338369</v>
      </c>
      <c r="E104" s="54">
        <f t="shared" si="6"/>
        <v>185.26350262798712</v>
      </c>
      <c r="F104" s="76">
        <f t="shared" si="20"/>
        <v>9410.4300313665553</v>
      </c>
      <c r="G104" s="77">
        <f t="shared" si="17"/>
        <v>325.0289117714949</v>
      </c>
      <c r="H104" s="79">
        <f t="shared" si="7"/>
        <v>11050.983000230821</v>
      </c>
      <c r="I104" s="78">
        <f t="shared" si="18"/>
        <v>139.76540914350778</v>
      </c>
      <c r="J104" s="76">
        <f t="shared" si="8"/>
        <v>55318.472222222219</v>
      </c>
      <c r="K104" s="80">
        <f t="shared" si="2"/>
        <v>207.15798148732151</v>
      </c>
      <c r="L104" s="78">
        <f t="shared" si="9"/>
        <v>13.287462225885658</v>
      </c>
      <c r="M104" s="59">
        <f t="shared" si="3"/>
        <v>53537.997339996116</v>
      </c>
      <c r="N104" s="80">
        <f t="shared" si="10"/>
        <v>108856.46956221834</v>
      </c>
      <c r="O104" s="54">
        <f t="shared" si="11"/>
        <v>92205.722888203556</v>
      </c>
      <c r="P104" s="54">
        <f t="shared" si="12"/>
        <v>1665.8250309999999</v>
      </c>
      <c r="Q104" s="54">
        <f t="shared" si="13"/>
        <v>232824.7170192115</v>
      </c>
      <c r="R104" s="54">
        <f t="shared" si="14"/>
        <v>197211.71764373308</v>
      </c>
      <c r="S104" s="54">
        <f t="shared" si="21"/>
        <v>123968.24745699317</v>
      </c>
      <c r="T104" s="81">
        <f t="shared" si="15"/>
        <v>105005.99475552952</v>
      </c>
      <c r="U104" s="82">
        <f t="shared" si="16"/>
        <v>2024</v>
      </c>
      <c r="V104" s="414">
        <v>2.8333333333333299</v>
      </c>
      <c r="W104" s="185"/>
      <c r="X104" s="185"/>
    </row>
    <row r="105" spans="1:24" s="113" customFormat="1" x14ac:dyDescent="0.2">
      <c r="A105" s="73">
        <v>35</v>
      </c>
      <c r="B105" s="74">
        <f t="shared" si="4"/>
        <v>17.811353280265081</v>
      </c>
      <c r="C105" s="75">
        <f t="shared" si="0"/>
        <v>16.960785452439804</v>
      </c>
      <c r="D105" s="75">
        <f t="shared" si="5"/>
        <v>142.07730422478562</v>
      </c>
      <c r="E105" s="54">
        <f t="shared" si="6"/>
        <v>176.84944295749051</v>
      </c>
      <c r="F105" s="76">
        <f t="shared" si="20"/>
        <v>9587.2794743240465</v>
      </c>
      <c r="G105" s="77">
        <f t="shared" si="17"/>
        <v>325.0289117714949</v>
      </c>
      <c r="H105" s="79">
        <f t="shared" si="7"/>
        <v>11376.011912002316</v>
      </c>
      <c r="I105" s="78">
        <f t="shared" si="18"/>
        <v>148.17946881400439</v>
      </c>
      <c r="J105" s="76">
        <f t="shared" si="8"/>
        <v>55318.472222222219</v>
      </c>
      <c r="K105" s="80">
        <f t="shared" si="2"/>
        <v>210.10768330513713</v>
      </c>
      <c r="L105" s="78">
        <f t="shared" si="9"/>
        <v>13.476661074032624</v>
      </c>
      <c r="M105" s="59">
        <f t="shared" si="3"/>
        <v>54300.319539421776</v>
      </c>
      <c r="N105" s="80">
        <f t="shared" si="10"/>
        <v>109618.791761644</v>
      </c>
      <c r="O105" s="54">
        <f t="shared" si="11"/>
        <v>92581.410741530373</v>
      </c>
      <c r="P105" s="54">
        <f t="shared" si="12"/>
        <v>1672.8719713333332</v>
      </c>
      <c r="Q105" s="54">
        <f t="shared" si="13"/>
        <v>247885.28010600971</v>
      </c>
      <c r="R105" s="54">
        <f t="shared" si="14"/>
        <v>209357.98110396549</v>
      </c>
      <c r="S105" s="54">
        <f t="shared" si="21"/>
        <v>138266.48834436573</v>
      </c>
      <c r="T105" s="81">
        <f t="shared" si="15"/>
        <v>116776.57036243513</v>
      </c>
      <c r="U105" s="82">
        <f t="shared" si="16"/>
        <v>2024</v>
      </c>
      <c r="V105" s="414">
        <v>2.9166666666666599</v>
      </c>
      <c r="W105" s="185"/>
      <c r="X105" s="185"/>
    </row>
    <row r="106" spans="1:24" s="113" customFormat="1" x14ac:dyDescent="0.2">
      <c r="A106" s="73">
        <v>36</v>
      </c>
      <c r="B106" s="74">
        <f t="shared" si="4"/>
        <v>8.9056766401325405</v>
      </c>
      <c r="C106" s="75">
        <f t="shared" si="0"/>
        <v>8.7262012110378695</v>
      </c>
      <c r="D106" s="75">
        <f t="shared" si="5"/>
        <v>150.55769695100551</v>
      </c>
      <c r="E106" s="54">
        <f t="shared" si="6"/>
        <v>168.18957480217591</v>
      </c>
      <c r="F106" s="76">
        <f t="shared" si="20"/>
        <v>9755.4690491262227</v>
      </c>
      <c r="G106" s="77">
        <f t="shared" si="17"/>
        <v>325.0289117714949</v>
      </c>
      <c r="H106" s="79">
        <f t="shared" si="7"/>
        <v>11701.04082377381</v>
      </c>
      <c r="I106" s="78">
        <f t="shared" si="18"/>
        <v>156.83933696931899</v>
      </c>
      <c r="J106" s="76">
        <f t="shared" si="8"/>
        <v>55318.472222222219</v>
      </c>
      <c r="K106" s="80">
        <f t="shared" si="2"/>
        <v>213.05738512295278</v>
      </c>
      <c r="L106" s="78">
        <f t="shared" si="9"/>
        <v>13.665859922179587</v>
      </c>
      <c r="M106" s="59">
        <f t="shared" si="3"/>
        <v>55062.641738847429</v>
      </c>
      <c r="N106" s="80">
        <f t="shared" si="10"/>
        <v>110381.11396106964</v>
      </c>
      <c r="O106" s="54">
        <f t="shared" si="11"/>
        <v>92954.133622401452</v>
      </c>
      <c r="P106" s="54">
        <f t="shared" si="12"/>
        <v>1679.9189116666664</v>
      </c>
      <c r="Q106" s="54">
        <f t="shared" si="13"/>
        <v>263477.36826801993</v>
      </c>
      <c r="R106" s="54">
        <f t="shared" si="14"/>
        <v>221879.53733735692</v>
      </c>
      <c r="S106" s="54">
        <f t="shared" si="21"/>
        <v>153096.25430695029</v>
      </c>
      <c r="T106" s="81">
        <f t="shared" si="15"/>
        <v>128925.40371495546</v>
      </c>
      <c r="U106" s="82">
        <f t="shared" si="16"/>
        <v>2024</v>
      </c>
      <c r="V106" s="414">
        <v>3</v>
      </c>
      <c r="W106" s="185"/>
      <c r="X106" s="185"/>
    </row>
    <row r="107" spans="1:24" s="113" customFormat="1" x14ac:dyDescent="0.2">
      <c r="A107" s="73">
        <v>37</v>
      </c>
      <c r="B107" s="74">
        <f t="shared" si="4"/>
        <v>0</v>
      </c>
      <c r="C107" s="75">
        <f t="shared" si="0"/>
        <v>0</v>
      </c>
      <c r="D107" s="75">
        <f t="shared" si="5"/>
        <v>159.28389816204339</v>
      </c>
      <c r="E107" s="54">
        <f t="shared" si="6"/>
        <v>159.28389816204339</v>
      </c>
      <c r="F107" s="76">
        <f t="shared" si="20"/>
        <v>9914.7529472882652</v>
      </c>
      <c r="G107" s="77">
        <f t="shared" si="17"/>
        <v>325.0289117714949</v>
      </c>
      <c r="H107" s="79">
        <f t="shared" si="7"/>
        <v>12026.069735545305</v>
      </c>
      <c r="I107" s="78">
        <f t="shared" si="18"/>
        <v>165.74501360945152</v>
      </c>
      <c r="J107" s="76">
        <f t="shared" si="8"/>
        <v>55318.472222222219</v>
      </c>
      <c r="K107" s="80">
        <f t="shared" si="2"/>
        <v>106.18926544136225</v>
      </c>
      <c r="L107" s="78">
        <f t="shared" si="9"/>
        <v>6.8111585332906976</v>
      </c>
      <c r="M107" s="59">
        <f t="shared" si="3"/>
        <v>27443.599179323617</v>
      </c>
      <c r="N107" s="80">
        <f t="shared" si="10"/>
        <v>82762.071401545836</v>
      </c>
      <c r="O107" s="54">
        <f t="shared" si="11"/>
        <v>69492.900394814598</v>
      </c>
      <c r="P107" s="54">
        <f t="shared" si="12"/>
        <v>1686.9658519999998</v>
      </c>
      <c r="Q107" s="54">
        <f t="shared" si="13"/>
        <v>279606.17809841997</v>
      </c>
      <c r="R107" s="54">
        <f t="shared" si="14"/>
        <v>234777.16247693339</v>
      </c>
      <c r="S107" s="54">
        <f t="shared" si="21"/>
        <v>196844.10669687414</v>
      </c>
      <c r="T107" s="81">
        <f t="shared" si="15"/>
        <v>165284.2620821188</v>
      </c>
      <c r="U107" s="376">
        <f t="shared" si="16"/>
        <v>2025</v>
      </c>
      <c r="V107" s="414">
        <v>3.0833333333333299</v>
      </c>
      <c r="W107" s="185"/>
      <c r="X107" s="185"/>
    </row>
    <row r="108" spans="1:24" s="113" customFormat="1" x14ac:dyDescent="0.2">
      <c r="A108" s="73">
        <v>38</v>
      </c>
      <c r="B108" s="74">
        <f t="shared" si="4"/>
        <v>0</v>
      </c>
      <c r="C108" s="75">
        <f t="shared" si="0"/>
        <v>0</v>
      </c>
      <c r="D108" s="75">
        <f t="shared" si="5"/>
        <v>159.28389816204339</v>
      </c>
      <c r="E108" s="54">
        <f t="shared" si="6"/>
        <v>159.28389816204339</v>
      </c>
      <c r="F108" s="76">
        <f t="shared" si="20"/>
        <v>10074.036845450308</v>
      </c>
      <c r="G108" s="77">
        <f t="shared" si="17"/>
        <v>325.0289117714949</v>
      </c>
      <c r="H108" s="79">
        <f t="shared" si="7"/>
        <v>12351.0986473168</v>
      </c>
      <c r="I108" s="78">
        <f t="shared" si="18"/>
        <v>165.74501360945152</v>
      </c>
      <c r="J108" s="76">
        <f t="shared" si="8"/>
        <v>55318.472222222219</v>
      </c>
      <c r="K108" s="80">
        <f t="shared" si="2"/>
        <v>106.18926544136225</v>
      </c>
      <c r="L108" s="78">
        <f t="shared" si="9"/>
        <v>6.8111585332906976</v>
      </c>
      <c r="M108" s="59">
        <f t="shared" si="3"/>
        <v>27443.599179323617</v>
      </c>
      <c r="N108" s="80">
        <f t="shared" si="10"/>
        <v>82762.071401545836</v>
      </c>
      <c r="O108" s="54">
        <f t="shared" si="11"/>
        <v>69290.802221668069</v>
      </c>
      <c r="P108" s="54">
        <f t="shared" si="12"/>
        <v>1694.0127923333332</v>
      </c>
      <c r="Q108" s="54">
        <f t="shared" si="13"/>
        <v>280774.17331987328</v>
      </c>
      <c r="R108" s="54">
        <f t="shared" si="14"/>
        <v>235072.26659501306</v>
      </c>
      <c r="S108" s="54">
        <f t="shared" si="21"/>
        <v>198012.10191832745</v>
      </c>
      <c r="T108" s="81">
        <f t="shared" si="15"/>
        <v>165781.46437334499</v>
      </c>
      <c r="U108" s="82">
        <f t="shared" si="16"/>
        <v>2025</v>
      </c>
      <c r="V108" s="414">
        <v>3.1666666666666599</v>
      </c>
      <c r="W108" s="185"/>
      <c r="X108" s="185"/>
    </row>
    <row r="109" spans="1:24" s="113" customFormat="1" x14ac:dyDescent="0.2">
      <c r="A109" s="73">
        <v>39</v>
      </c>
      <c r="B109" s="74">
        <f t="shared" si="4"/>
        <v>0</v>
      </c>
      <c r="C109" s="75">
        <f t="shared" si="0"/>
        <v>0</v>
      </c>
      <c r="D109" s="75">
        <f t="shared" si="5"/>
        <v>159.28389816204339</v>
      </c>
      <c r="E109" s="54">
        <f t="shared" si="6"/>
        <v>159.28389816204339</v>
      </c>
      <c r="F109" s="76">
        <f t="shared" si="20"/>
        <v>10233.32074361235</v>
      </c>
      <c r="G109" s="77">
        <f t="shared" si="17"/>
        <v>325.0289117714949</v>
      </c>
      <c r="H109" s="79">
        <f t="shared" si="7"/>
        <v>12676.127559088294</v>
      </c>
      <c r="I109" s="78">
        <f t="shared" si="18"/>
        <v>165.74501360945152</v>
      </c>
      <c r="J109" s="76">
        <f t="shared" si="8"/>
        <v>55318.472222222219</v>
      </c>
      <c r="K109" s="80">
        <f t="shared" si="2"/>
        <v>106.18926544136225</v>
      </c>
      <c r="L109" s="78">
        <f t="shared" si="9"/>
        <v>6.8111585332906976</v>
      </c>
      <c r="M109" s="59">
        <f t="shared" si="3"/>
        <v>27443.599179323617</v>
      </c>
      <c r="N109" s="80">
        <f t="shared" si="10"/>
        <v>82762.071401545836</v>
      </c>
      <c r="O109" s="54">
        <f t="shared" si="11"/>
        <v>69089.291787288472</v>
      </c>
      <c r="P109" s="54">
        <f t="shared" si="12"/>
        <v>1701.0597326666666</v>
      </c>
      <c r="Q109" s="54">
        <f t="shared" si="13"/>
        <v>281942.1685413266</v>
      </c>
      <c r="R109" s="54">
        <f t="shared" si="14"/>
        <v>235363.66864216432</v>
      </c>
      <c r="S109" s="54">
        <f t="shared" si="21"/>
        <v>199180.09713978076</v>
      </c>
      <c r="T109" s="81">
        <f t="shared" si="15"/>
        <v>166274.37685487585</v>
      </c>
      <c r="U109" s="82">
        <f t="shared" si="16"/>
        <v>2025</v>
      </c>
      <c r="V109" s="414">
        <v>3.25</v>
      </c>
      <c r="W109" s="185"/>
      <c r="X109" s="185"/>
    </row>
    <row r="110" spans="1:24" s="113" customFormat="1" x14ac:dyDescent="0.2">
      <c r="A110" s="73">
        <v>40</v>
      </c>
      <c r="B110" s="74">
        <f t="shared" si="4"/>
        <v>0</v>
      </c>
      <c r="C110" s="75">
        <f t="shared" si="0"/>
        <v>0</v>
      </c>
      <c r="D110" s="75">
        <f t="shared" si="5"/>
        <v>159.28389816204339</v>
      </c>
      <c r="E110" s="54">
        <f t="shared" si="6"/>
        <v>159.28389816204339</v>
      </c>
      <c r="F110" s="76">
        <f t="shared" si="20"/>
        <v>10392.604641774393</v>
      </c>
      <c r="G110" s="77">
        <f t="shared" si="17"/>
        <v>325.0289117714949</v>
      </c>
      <c r="H110" s="79">
        <f t="shared" si="7"/>
        <v>13001.156470859789</v>
      </c>
      <c r="I110" s="78">
        <f t="shared" si="18"/>
        <v>165.74501360945152</v>
      </c>
      <c r="J110" s="76">
        <f t="shared" si="8"/>
        <v>55318.472222222219</v>
      </c>
      <c r="K110" s="80">
        <f t="shared" si="2"/>
        <v>106.18926544136225</v>
      </c>
      <c r="L110" s="78">
        <f t="shared" si="9"/>
        <v>6.8111585332906976</v>
      </c>
      <c r="M110" s="59">
        <f t="shared" si="3"/>
        <v>27443.599179323617</v>
      </c>
      <c r="N110" s="80">
        <f t="shared" si="10"/>
        <v>82762.071401545836</v>
      </c>
      <c r="O110" s="54">
        <f t="shared" si="11"/>
        <v>68888.36738242305</v>
      </c>
      <c r="P110" s="54">
        <f t="shared" si="12"/>
        <v>1708.1066729999995</v>
      </c>
      <c r="Q110" s="54">
        <f t="shared" si="13"/>
        <v>283110.16376277991</v>
      </c>
      <c r="R110" s="54">
        <f t="shared" si="14"/>
        <v>235651.38765514339</v>
      </c>
      <c r="S110" s="54">
        <f t="shared" si="21"/>
        <v>200348.09236123407</v>
      </c>
      <c r="T110" s="81">
        <f t="shared" si="15"/>
        <v>166763.02027272034</v>
      </c>
      <c r="U110" s="82">
        <f t="shared" si="16"/>
        <v>2025</v>
      </c>
      <c r="V110" s="414">
        <v>3.3333333333333299</v>
      </c>
      <c r="W110" s="185"/>
      <c r="X110" s="185"/>
    </row>
    <row r="111" spans="1:24" s="113" customFormat="1" x14ac:dyDescent="0.2">
      <c r="A111" s="73">
        <v>41</v>
      </c>
      <c r="B111" s="74">
        <f t="shared" si="4"/>
        <v>0</v>
      </c>
      <c r="C111" s="75">
        <f t="shared" si="0"/>
        <v>0</v>
      </c>
      <c r="D111" s="75">
        <f t="shared" si="5"/>
        <v>159.28389816204339</v>
      </c>
      <c r="E111" s="54">
        <f t="shared" si="6"/>
        <v>159.28389816204339</v>
      </c>
      <c r="F111" s="76">
        <f t="shared" si="20"/>
        <v>10551.888539936435</v>
      </c>
      <c r="G111" s="77">
        <f t="shared" si="17"/>
        <v>325.0289117714949</v>
      </c>
      <c r="H111" s="79">
        <f t="shared" si="7"/>
        <v>13326.185382631284</v>
      </c>
      <c r="I111" s="78">
        <f t="shared" si="18"/>
        <v>165.74501360945152</v>
      </c>
      <c r="J111" s="76">
        <f t="shared" si="8"/>
        <v>55318.472222222219</v>
      </c>
      <c r="K111" s="80">
        <f t="shared" si="2"/>
        <v>106.18926544136225</v>
      </c>
      <c r="L111" s="78">
        <f t="shared" si="9"/>
        <v>6.8111585332906976</v>
      </c>
      <c r="M111" s="59">
        <f t="shared" si="3"/>
        <v>27443.599179323617</v>
      </c>
      <c r="N111" s="80">
        <f t="shared" si="10"/>
        <v>82762.071401545836</v>
      </c>
      <c r="O111" s="54">
        <f t="shared" si="11"/>
        <v>68688.027302789938</v>
      </c>
      <c r="P111" s="54">
        <f t="shared" si="12"/>
        <v>1715.1536133333334</v>
      </c>
      <c r="Q111" s="54">
        <f t="shared" si="13"/>
        <v>284278.15898423328</v>
      </c>
      <c r="R111" s="54">
        <f t="shared" si="14"/>
        <v>235935.44259129258</v>
      </c>
      <c r="S111" s="54">
        <f t="shared" si="21"/>
        <v>201516.08758268744</v>
      </c>
      <c r="T111" s="81">
        <f t="shared" si="15"/>
        <v>167247.41528850264</v>
      </c>
      <c r="U111" s="82">
        <f t="shared" si="16"/>
        <v>2025</v>
      </c>
      <c r="V111" s="414">
        <v>3.4166666666666599</v>
      </c>
      <c r="W111" s="185"/>
      <c r="X111" s="185"/>
    </row>
    <row r="112" spans="1:24" s="113" customFormat="1" x14ac:dyDescent="0.2">
      <c r="A112" s="73">
        <v>42</v>
      </c>
      <c r="B112" s="74">
        <f t="shared" si="4"/>
        <v>0</v>
      </c>
      <c r="C112" s="75">
        <f t="shared" si="0"/>
        <v>0</v>
      </c>
      <c r="D112" s="75">
        <f t="shared" si="5"/>
        <v>159.28389816204339</v>
      </c>
      <c r="E112" s="54">
        <f t="shared" si="6"/>
        <v>159.28389816204339</v>
      </c>
      <c r="F112" s="76">
        <f t="shared" si="20"/>
        <v>10711.172438098478</v>
      </c>
      <c r="G112" s="77">
        <f t="shared" si="17"/>
        <v>325.0289117714949</v>
      </c>
      <c r="H112" s="79">
        <f t="shared" si="7"/>
        <v>13651.214294402778</v>
      </c>
      <c r="I112" s="78">
        <f t="shared" si="18"/>
        <v>165.74501360945152</v>
      </c>
      <c r="J112" s="76">
        <f t="shared" si="8"/>
        <v>55318.472222222219</v>
      </c>
      <c r="K112" s="80">
        <f t="shared" si="2"/>
        <v>106.18926544136225</v>
      </c>
      <c r="L112" s="78">
        <f t="shared" si="9"/>
        <v>6.8111585332906976</v>
      </c>
      <c r="M112" s="59">
        <f t="shared" si="3"/>
        <v>27443.599179323617</v>
      </c>
      <c r="N112" s="80">
        <f t="shared" si="10"/>
        <v>82762.071401545836</v>
      </c>
      <c r="O112" s="54">
        <f t="shared" si="11"/>
        <v>68488.269849063508</v>
      </c>
      <c r="P112" s="54">
        <f t="shared" si="12"/>
        <v>1722.2005536666663</v>
      </c>
      <c r="Q112" s="54">
        <f t="shared" si="13"/>
        <v>285446.15420568653</v>
      </c>
      <c r="R112" s="54">
        <f t="shared" si="14"/>
        <v>236215.85232883989</v>
      </c>
      <c r="S112" s="54">
        <f t="shared" si="21"/>
        <v>202684.08280414069</v>
      </c>
      <c r="T112" s="81">
        <f t="shared" si="15"/>
        <v>167727.58247977638</v>
      </c>
      <c r="U112" s="82">
        <f t="shared" si="16"/>
        <v>2025</v>
      </c>
      <c r="V112" s="414">
        <v>3.5</v>
      </c>
      <c r="W112" s="185"/>
      <c r="X112" s="185"/>
    </row>
    <row r="113" spans="1:24" s="113" customFormat="1" x14ac:dyDescent="0.2">
      <c r="A113" s="73">
        <v>43</v>
      </c>
      <c r="B113" s="74">
        <f t="shared" si="4"/>
        <v>0</v>
      </c>
      <c r="C113" s="75">
        <f t="shared" si="0"/>
        <v>0</v>
      </c>
      <c r="D113" s="75">
        <f t="shared" si="5"/>
        <v>159.28389816204339</v>
      </c>
      <c r="E113" s="54">
        <f t="shared" si="6"/>
        <v>159.28389816204339</v>
      </c>
      <c r="F113" s="76">
        <f t="shared" si="20"/>
        <v>10870.45633626052</v>
      </c>
      <c r="G113" s="77">
        <f t="shared" si="17"/>
        <v>325.0289117714949</v>
      </c>
      <c r="H113" s="79">
        <f t="shared" si="7"/>
        <v>13976.243206174273</v>
      </c>
      <c r="I113" s="78">
        <f t="shared" si="18"/>
        <v>165.74501360945152</v>
      </c>
      <c r="J113" s="76">
        <f t="shared" si="8"/>
        <v>55318.472222222219</v>
      </c>
      <c r="K113" s="80">
        <f t="shared" si="2"/>
        <v>106.18926544136225</v>
      </c>
      <c r="L113" s="78">
        <f t="shared" si="9"/>
        <v>6.8111585332906976</v>
      </c>
      <c r="M113" s="59">
        <f t="shared" si="3"/>
        <v>27443.599179323617</v>
      </c>
      <c r="N113" s="80">
        <f t="shared" si="10"/>
        <v>82762.071401545836</v>
      </c>
      <c r="O113" s="54">
        <f t="shared" si="11"/>
        <v>68289.093326860166</v>
      </c>
      <c r="P113" s="54">
        <f t="shared" si="12"/>
        <v>1729.2474939999997</v>
      </c>
      <c r="Q113" s="54">
        <f t="shared" si="13"/>
        <v>286614.1494271399</v>
      </c>
      <c r="R113" s="54">
        <f t="shared" si="14"/>
        <v>236492.63566720037</v>
      </c>
      <c r="S113" s="54">
        <f t="shared" si="21"/>
        <v>203852.07802559406</v>
      </c>
      <c r="T113" s="81">
        <f t="shared" si="15"/>
        <v>168203.54234034021</v>
      </c>
      <c r="U113" s="82">
        <f t="shared" si="16"/>
        <v>2025</v>
      </c>
      <c r="V113" s="414">
        <v>3.5833333333333299</v>
      </c>
      <c r="W113" s="185"/>
      <c r="X113" s="185"/>
    </row>
    <row r="114" spans="1:24" s="113" customFormat="1" x14ac:dyDescent="0.2">
      <c r="A114" s="73">
        <v>44</v>
      </c>
      <c r="B114" s="74">
        <f t="shared" si="4"/>
        <v>0</v>
      </c>
      <c r="C114" s="75">
        <f t="shared" si="0"/>
        <v>0</v>
      </c>
      <c r="D114" s="75">
        <f t="shared" si="5"/>
        <v>159.28389816204339</v>
      </c>
      <c r="E114" s="54">
        <f t="shared" si="6"/>
        <v>159.28389816204339</v>
      </c>
      <c r="F114" s="76">
        <f t="shared" si="20"/>
        <v>11029.740234422563</v>
      </c>
      <c r="G114" s="77">
        <f t="shared" si="17"/>
        <v>325.0289117714949</v>
      </c>
      <c r="H114" s="79">
        <f t="shared" si="7"/>
        <v>14301.272117945768</v>
      </c>
      <c r="I114" s="78">
        <f t="shared" si="18"/>
        <v>165.74501360945152</v>
      </c>
      <c r="J114" s="76">
        <f t="shared" si="8"/>
        <v>55318.472222222219</v>
      </c>
      <c r="K114" s="80">
        <f t="shared" si="2"/>
        <v>106.18926544136225</v>
      </c>
      <c r="L114" s="78">
        <f t="shared" si="9"/>
        <v>6.8111585332906976</v>
      </c>
      <c r="M114" s="59">
        <f t="shared" si="3"/>
        <v>27443.599179323617</v>
      </c>
      <c r="N114" s="80">
        <f t="shared" si="10"/>
        <v>82762.071401545836</v>
      </c>
      <c r="O114" s="54">
        <f t="shared" si="11"/>
        <v>68090.496046723885</v>
      </c>
      <c r="P114" s="54">
        <f t="shared" si="12"/>
        <v>1736.2944343333331</v>
      </c>
      <c r="Q114" s="54">
        <f t="shared" si="13"/>
        <v>287782.14464859321</v>
      </c>
      <c r="R114" s="54">
        <f t="shared" si="14"/>
        <v>236765.81132727372</v>
      </c>
      <c r="S114" s="54">
        <f t="shared" si="21"/>
        <v>205020.07324704737</v>
      </c>
      <c r="T114" s="81">
        <f t="shared" si="15"/>
        <v>168675.31528054984</v>
      </c>
      <c r="U114" s="82">
        <f t="shared" si="16"/>
        <v>2025</v>
      </c>
      <c r="V114" s="414">
        <v>3.6666666666666599</v>
      </c>
      <c r="W114" s="185"/>
      <c r="X114" s="185"/>
    </row>
    <row r="115" spans="1:24" s="113" customFormat="1" x14ac:dyDescent="0.2">
      <c r="A115" s="73">
        <v>45</v>
      </c>
      <c r="B115" s="74">
        <f t="shared" si="4"/>
        <v>0</v>
      </c>
      <c r="C115" s="75">
        <f t="shared" si="0"/>
        <v>0</v>
      </c>
      <c r="D115" s="75">
        <f t="shared" si="5"/>
        <v>159.28389816204339</v>
      </c>
      <c r="E115" s="54">
        <f t="shared" si="6"/>
        <v>159.28389816204339</v>
      </c>
      <c r="F115" s="76">
        <f t="shared" si="20"/>
        <v>11189.024132584605</v>
      </c>
      <c r="G115" s="77">
        <f t="shared" si="17"/>
        <v>325.0289117714949</v>
      </c>
      <c r="H115" s="79">
        <f t="shared" si="7"/>
        <v>14626.301029717262</v>
      </c>
      <c r="I115" s="78">
        <f t="shared" si="18"/>
        <v>165.74501360945152</v>
      </c>
      <c r="J115" s="76">
        <f t="shared" si="8"/>
        <v>55318.472222222219</v>
      </c>
      <c r="K115" s="80">
        <f t="shared" si="2"/>
        <v>106.18926544136225</v>
      </c>
      <c r="L115" s="78">
        <f t="shared" si="9"/>
        <v>6.8111585332906976</v>
      </c>
      <c r="M115" s="59">
        <f t="shared" si="3"/>
        <v>27443.599179323617</v>
      </c>
      <c r="N115" s="80">
        <f t="shared" si="10"/>
        <v>82762.071401545836</v>
      </c>
      <c r="O115" s="54">
        <f t="shared" si="11"/>
        <v>67892.476324111907</v>
      </c>
      <c r="P115" s="54">
        <f t="shared" si="12"/>
        <v>1743.3413746666663</v>
      </c>
      <c r="Q115" s="54">
        <f t="shared" si="13"/>
        <v>288950.13987004652</v>
      </c>
      <c r="R115" s="54">
        <f t="shared" si="14"/>
        <v>237035.39795174263</v>
      </c>
      <c r="S115" s="54">
        <f t="shared" si="21"/>
        <v>206188.06846850069</v>
      </c>
      <c r="T115" s="81">
        <f t="shared" si="15"/>
        <v>169142.92162763074</v>
      </c>
      <c r="U115" s="82">
        <f t="shared" si="16"/>
        <v>2025</v>
      </c>
      <c r="V115" s="414">
        <v>3.75</v>
      </c>
      <c r="W115" s="185"/>
      <c r="X115" s="185"/>
    </row>
    <row r="116" spans="1:24" s="113" customFormat="1" x14ac:dyDescent="0.2">
      <c r="A116" s="73">
        <v>46</v>
      </c>
      <c r="B116" s="74">
        <f t="shared" si="4"/>
        <v>0</v>
      </c>
      <c r="C116" s="75">
        <f t="shared" si="0"/>
        <v>0</v>
      </c>
      <c r="D116" s="75">
        <f t="shared" si="5"/>
        <v>159.28389816204339</v>
      </c>
      <c r="E116" s="54">
        <f t="shared" si="6"/>
        <v>159.28389816204339</v>
      </c>
      <c r="F116" s="76">
        <f t="shared" si="20"/>
        <v>11348.308030746648</v>
      </c>
      <c r="G116" s="77">
        <f t="shared" si="17"/>
        <v>325.0289117714949</v>
      </c>
      <c r="H116" s="79">
        <f t="shared" si="7"/>
        <v>14951.329941488757</v>
      </c>
      <c r="I116" s="78">
        <f t="shared" si="18"/>
        <v>165.74501360945152</v>
      </c>
      <c r="J116" s="76">
        <f t="shared" si="8"/>
        <v>55318.472222222219</v>
      </c>
      <c r="K116" s="80">
        <f t="shared" si="2"/>
        <v>106.18926544136225</v>
      </c>
      <c r="L116" s="78">
        <f t="shared" si="9"/>
        <v>6.8111585332906976</v>
      </c>
      <c r="M116" s="59">
        <f t="shared" si="3"/>
        <v>27443.599179323617</v>
      </c>
      <c r="N116" s="80">
        <f t="shared" si="10"/>
        <v>82762.071401545836</v>
      </c>
      <c r="O116" s="54">
        <f t="shared" si="11"/>
        <v>67695.032479380359</v>
      </c>
      <c r="P116" s="54">
        <f t="shared" si="12"/>
        <v>1750.3883149999997</v>
      </c>
      <c r="Q116" s="54">
        <f t="shared" si="13"/>
        <v>290118.13509149983</v>
      </c>
      <c r="R116" s="54">
        <f t="shared" si="14"/>
        <v>237301.41410536895</v>
      </c>
      <c r="S116" s="54">
        <f t="shared" si="21"/>
        <v>207356.063689954</v>
      </c>
      <c r="T116" s="81">
        <f t="shared" si="15"/>
        <v>169606.38162598858</v>
      </c>
      <c r="U116" s="82">
        <f t="shared" si="16"/>
        <v>2025</v>
      </c>
      <c r="V116" s="414">
        <v>3.8333333333333299</v>
      </c>
      <c r="W116" s="185"/>
      <c r="X116" s="185"/>
    </row>
    <row r="117" spans="1:24" s="113" customFormat="1" x14ac:dyDescent="0.2">
      <c r="A117" s="73">
        <v>47</v>
      </c>
      <c r="B117" s="74">
        <f t="shared" si="4"/>
        <v>0</v>
      </c>
      <c r="C117" s="75">
        <f t="shared" si="0"/>
        <v>0</v>
      </c>
      <c r="D117" s="75">
        <f t="shared" si="5"/>
        <v>159.28389816204339</v>
      </c>
      <c r="E117" s="54">
        <f t="shared" si="6"/>
        <v>159.28389816204339</v>
      </c>
      <c r="F117" s="76">
        <f t="shared" si="20"/>
        <v>11507.591928908691</v>
      </c>
      <c r="G117" s="77">
        <f t="shared" si="17"/>
        <v>325.0289117714949</v>
      </c>
      <c r="H117" s="79">
        <f t="shared" si="7"/>
        <v>15276.358853260252</v>
      </c>
      <c r="I117" s="78">
        <f t="shared" si="18"/>
        <v>165.74501360945152</v>
      </c>
      <c r="J117" s="76">
        <f t="shared" si="8"/>
        <v>55318.472222222219</v>
      </c>
      <c r="K117" s="80">
        <f t="shared" si="2"/>
        <v>106.18926544136225</v>
      </c>
      <c r="L117" s="78">
        <f t="shared" si="9"/>
        <v>6.8111585332906976</v>
      </c>
      <c r="M117" s="59">
        <f t="shared" si="3"/>
        <v>27443.599179323617</v>
      </c>
      <c r="N117" s="80">
        <f t="shared" si="10"/>
        <v>82762.071401545836</v>
      </c>
      <c r="O117" s="54">
        <f t="shared" si="11"/>
        <v>67498.162837770215</v>
      </c>
      <c r="P117" s="54">
        <f t="shared" si="12"/>
        <v>1757.4352553333331</v>
      </c>
      <c r="Q117" s="54">
        <f t="shared" si="13"/>
        <v>291286.1303129532</v>
      </c>
      <c r="R117" s="54">
        <f t="shared" si="14"/>
        <v>237563.87827528972</v>
      </c>
      <c r="S117" s="54">
        <f t="shared" si="21"/>
        <v>208524.05891140737</v>
      </c>
      <c r="T117" s="81">
        <f t="shared" si="15"/>
        <v>170065.71543751948</v>
      </c>
      <c r="U117" s="82">
        <f t="shared" si="16"/>
        <v>2025</v>
      </c>
      <c r="V117" s="414">
        <v>3.9166666666666599</v>
      </c>
      <c r="W117" s="185"/>
      <c r="X117" s="185"/>
    </row>
    <row r="118" spans="1:24" s="113" customFormat="1" x14ac:dyDescent="0.2">
      <c r="A118" s="73">
        <v>48</v>
      </c>
      <c r="B118" s="74">
        <f t="shared" si="4"/>
        <v>0</v>
      </c>
      <c r="C118" s="75">
        <f t="shared" si="0"/>
        <v>0</v>
      </c>
      <c r="D118" s="75">
        <f t="shared" si="5"/>
        <v>159.28389816204339</v>
      </c>
      <c r="E118" s="54">
        <f t="shared" si="6"/>
        <v>159.28389816204339</v>
      </c>
      <c r="F118" s="76">
        <f t="shared" si="20"/>
        <v>11666.875827070733</v>
      </c>
      <c r="G118" s="77">
        <f t="shared" si="17"/>
        <v>325.0289117714949</v>
      </c>
      <c r="H118" s="79">
        <f t="shared" si="7"/>
        <v>15601.387765031746</v>
      </c>
      <c r="I118" s="78">
        <f t="shared" si="18"/>
        <v>165.74501360945152</v>
      </c>
      <c r="J118" s="76">
        <f t="shared" si="8"/>
        <v>55318.472222222219</v>
      </c>
      <c r="K118" s="80">
        <f t="shared" si="2"/>
        <v>106.18926544136225</v>
      </c>
      <c r="L118" s="78">
        <f t="shared" si="9"/>
        <v>6.8111585332906976</v>
      </c>
      <c r="M118" s="59">
        <f t="shared" si="3"/>
        <v>27443.599179323617</v>
      </c>
      <c r="N118" s="80">
        <f t="shared" si="10"/>
        <v>82762.071401545836</v>
      </c>
      <c r="O118" s="54">
        <f t="shared" si="11"/>
        <v>67301.865729392797</v>
      </c>
      <c r="P118" s="54">
        <f t="shared" si="12"/>
        <v>1764.4821956666665</v>
      </c>
      <c r="Q118" s="54">
        <f t="shared" si="13"/>
        <v>292454.12553440651</v>
      </c>
      <c r="R118" s="54">
        <f t="shared" si="14"/>
        <v>237822.80887131079</v>
      </c>
      <c r="S118" s="54">
        <f t="shared" si="21"/>
        <v>209692.05413286068</v>
      </c>
      <c r="T118" s="81">
        <f t="shared" si="15"/>
        <v>170520.94314191799</v>
      </c>
      <c r="U118" s="82">
        <f t="shared" si="16"/>
        <v>2025</v>
      </c>
      <c r="V118" s="414">
        <v>4</v>
      </c>
      <c r="W118" s="185"/>
      <c r="X118" s="185"/>
    </row>
    <row r="119" spans="1:24" s="113" customFormat="1" x14ac:dyDescent="0.2">
      <c r="A119" s="73">
        <v>49</v>
      </c>
      <c r="B119" s="74">
        <f t="shared" si="4"/>
        <v>0</v>
      </c>
      <c r="C119" s="75">
        <f t="shared" si="0"/>
        <v>0</v>
      </c>
      <c r="D119" s="75">
        <f t="shared" si="5"/>
        <v>159.28389816204339</v>
      </c>
      <c r="E119" s="54">
        <f t="shared" si="6"/>
        <v>159.28389816204339</v>
      </c>
      <c r="F119" s="76">
        <f t="shared" si="20"/>
        <v>11826.159725232776</v>
      </c>
      <c r="G119" s="77">
        <f t="shared" si="17"/>
        <v>325.0289117714949</v>
      </c>
      <c r="H119" s="79">
        <f t="shared" si="7"/>
        <v>15926.416676803241</v>
      </c>
      <c r="I119" s="78">
        <f t="shared" si="18"/>
        <v>165.74501360945152</v>
      </c>
      <c r="J119" s="76">
        <f t="shared" si="8"/>
        <v>55318.472222222219</v>
      </c>
      <c r="K119" s="80">
        <f t="shared" si="2"/>
        <v>106.18926544136225</v>
      </c>
      <c r="L119" s="78">
        <f t="shared" si="9"/>
        <v>6.8111585332906976</v>
      </c>
      <c r="M119" s="59">
        <f t="shared" si="3"/>
        <v>27443.599179323617</v>
      </c>
      <c r="N119" s="80">
        <f t="shared" si="10"/>
        <v>82762.071401545836</v>
      </c>
      <c r="O119" s="54">
        <f t="shared" si="11"/>
        <v>67106.13948921593</v>
      </c>
      <c r="P119" s="54">
        <f t="shared" si="12"/>
        <v>1771.5291359999999</v>
      </c>
      <c r="Q119" s="54">
        <f t="shared" si="13"/>
        <v>293622.12075585988</v>
      </c>
      <c r="R119" s="54">
        <f t="shared" si="14"/>
        <v>238078.22422620162</v>
      </c>
      <c r="S119" s="54">
        <f t="shared" si="21"/>
        <v>210860.04935431405</v>
      </c>
      <c r="T119" s="81">
        <f t="shared" si="15"/>
        <v>170972.08473698571</v>
      </c>
      <c r="U119" s="376">
        <f t="shared" si="16"/>
        <v>2026</v>
      </c>
      <c r="V119" s="414">
        <v>4.0833333333333304</v>
      </c>
      <c r="W119" s="185"/>
      <c r="X119" s="185"/>
    </row>
    <row r="120" spans="1:24" s="113" customFormat="1" x14ac:dyDescent="0.2">
      <c r="A120" s="73">
        <v>50</v>
      </c>
      <c r="B120" s="74">
        <f t="shared" si="4"/>
        <v>0</v>
      </c>
      <c r="C120" s="75">
        <f t="shared" si="0"/>
        <v>0</v>
      </c>
      <c r="D120" s="75">
        <f t="shared" si="5"/>
        <v>159.28389816204339</v>
      </c>
      <c r="E120" s="54">
        <f t="shared" si="6"/>
        <v>159.28389816204339</v>
      </c>
      <c r="F120" s="76">
        <f t="shared" si="20"/>
        <v>11985.443623394818</v>
      </c>
      <c r="G120" s="77">
        <f t="shared" si="17"/>
        <v>325.0289117714949</v>
      </c>
      <c r="H120" s="79">
        <f t="shared" si="7"/>
        <v>16251.445588574736</v>
      </c>
      <c r="I120" s="78">
        <f t="shared" si="18"/>
        <v>165.74501360945152</v>
      </c>
      <c r="J120" s="76">
        <f t="shared" si="8"/>
        <v>55318.472222222219</v>
      </c>
      <c r="K120" s="80">
        <f t="shared" si="2"/>
        <v>106.18926544136225</v>
      </c>
      <c r="L120" s="78">
        <f t="shared" si="9"/>
        <v>6.8111585332906976</v>
      </c>
      <c r="M120" s="59">
        <f t="shared" si="3"/>
        <v>27443.599179323617</v>
      </c>
      <c r="N120" s="80">
        <f t="shared" si="10"/>
        <v>82762.071401545836</v>
      </c>
      <c r="O120" s="54">
        <f t="shared" si="11"/>
        <v>66910.982457049526</v>
      </c>
      <c r="P120" s="54">
        <f t="shared" si="12"/>
        <v>1778.576076333333</v>
      </c>
      <c r="Q120" s="54">
        <f t="shared" si="13"/>
        <v>294790.11597731319</v>
      </c>
      <c r="R120" s="54">
        <f t="shared" si="14"/>
        <v>238330.14259598605</v>
      </c>
      <c r="S120" s="54">
        <f t="shared" si="21"/>
        <v>212028.04457576736</v>
      </c>
      <c r="T120" s="81">
        <f t="shared" si="15"/>
        <v>171419.16013893651</v>
      </c>
      <c r="U120" s="82">
        <f t="shared" si="16"/>
        <v>2026</v>
      </c>
      <c r="V120" s="414">
        <v>4.1666666666666599</v>
      </c>
      <c r="W120" s="185"/>
      <c r="X120" s="185"/>
    </row>
    <row r="121" spans="1:24" s="113" customFormat="1" x14ac:dyDescent="0.2">
      <c r="A121" s="73">
        <v>51</v>
      </c>
      <c r="B121" s="74">
        <f t="shared" si="4"/>
        <v>0</v>
      </c>
      <c r="C121" s="75">
        <f t="shared" si="0"/>
        <v>0</v>
      </c>
      <c r="D121" s="75">
        <f t="shared" si="5"/>
        <v>159.28389816204339</v>
      </c>
      <c r="E121" s="54">
        <f t="shared" si="6"/>
        <v>159.28389816204339</v>
      </c>
      <c r="F121" s="76">
        <f t="shared" si="20"/>
        <v>12144.727521556861</v>
      </c>
      <c r="G121" s="77">
        <f t="shared" si="17"/>
        <v>325.0289117714949</v>
      </c>
      <c r="H121" s="79">
        <f t="shared" si="7"/>
        <v>16576.47450034623</v>
      </c>
      <c r="I121" s="78">
        <f t="shared" si="18"/>
        <v>165.74501360945152</v>
      </c>
      <c r="J121" s="76">
        <f t="shared" si="8"/>
        <v>55318.472222222219</v>
      </c>
      <c r="K121" s="80">
        <f t="shared" si="2"/>
        <v>106.18926544136225</v>
      </c>
      <c r="L121" s="78">
        <f t="shared" si="9"/>
        <v>6.8111585332906976</v>
      </c>
      <c r="M121" s="59">
        <f t="shared" si="3"/>
        <v>27443.599179323617</v>
      </c>
      <c r="N121" s="80">
        <f t="shared" si="10"/>
        <v>82762.071401545836</v>
      </c>
      <c r="O121" s="54">
        <f t="shared" si="11"/>
        <v>66716.392977531737</v>
      </c>
      <c r="P121" s="54">
        <f t="shared" si="12"/>
        <v>1785.6230166666664</v>
      </c>
      <c r="Q121" s="54">
        <f t="shared" si="13"/>
        <v>295958.11119876651</v>
      </c>
      <c r="R121" s="54">
        <f t="shared" si="14"/>
        <v>238578.58216023503</v>
      </c>
      <c r="S121" s="54">
        <f t="shared" si="21"/>
        <v>213196.03979722067</v>
      </c>
      <c r="T121" s="81">
        <f t="shared" si="15"/>
        <v>171862.1891827033</v>
      </c>
      <c r="U121" s="82">
        <f t="shared" si="16"/>
        <v>2026</v>
      </c>
      <c r="V121" s="414">
        <v>4.25</v>
      </c>
      <c r="W121" s="185"/>
      <c r="X121" s="185"/>
    </row>
    <row r="122" spans="1:24" s="113" customFormat="1" x14ac:dyDescent="0.2">
      <c r="A122" s="73">
        <v>52</v>
      </c>
      <c r="B122" s="74">
        <f t="shared" si="4"/>
        <v>0</v>
      </c>
      <c r="C122" s="75">
        <f t="shared" si="0"/>
        <v>0</v>
      </c>
      <c r="D122" s="75">
        <f t="shared" si="5"/>
        <v>159.28389816204339</v>
      </c>
      <c r="E122" s="54">
        <f t="shared" si="6"/>
        <v>159.28389816204339</v>
      </c>
      <c r="F122" s="76">
        <f t="shared" si="20"/>
        <v>12304.011419718903</v>
      </c>
      <c r="G122" s="77">
        <f t="shared" si="17"/>
        <v>325.0289117714949</v>
      </c>
      <c r="H122" s="79">
        <f t="shared" si="7"/>
        <v>16901.503412117727</v>
      </c>
      <c r="I122" s="78">
        <f t="shared" si="18"/>
        <v>165.74501360945152</v>
      </c>
      <c r="J122" s="76">
        <f t="shared" si="8"/>
        <v>55318.472222222219</v>
      </c>
      <c r="K122" s="80">
        <f t="shared" si="2"/>
        <v>106.18926544136225</v>
      </c>
      <c r="L122" s="78">
        <f t="shared" si="9"/>
        <v>6.8111585332906976</v>
      </c>
      <c r="M122" s="59">
        <f t="shared" si="3"/>
        <v>27443.599179323617</v>
      </c>
      <c r="N122" s="80">
        <f t="shared" si="10"/>
        <v>82762.071401545836</v>
      </c>
      <c r="O122" s="54">
        <f t="shared" si="11"/>
        <v>66522.369400114723</v>
      </c>
      <c r="P122" s="54">
        <f t="shared" si="12"/>
        <v>1792.6699569999998</v>
      </c>
      <c r="Q122" s="54">
        <f t="shared" si="13"/>
        <v>297126.10642021982</v>
      </c>
      <c r="R122" s="54">
        <f t="shared" si="14"/>
        <v>238823.56102235592</v>
      </c>
      <c r="S122" s="54">
        <f t="shared" si="21"/>
        <v>214364.03501867398</v>
      </c>
      <c r="T122" s="81">
        <f t="shared" si="15"/>
        <v>172301.19162224123</v>
      </c>
      <c r="U122" s="82">
        <f t="shared" si="16"/>
        <v>2026</v>
      </c>
      <c r="V122" s="414">
        <v>4.3333333333333304</v>
      </c>
      <c r="W122" s="185"/>
      <c r="X122" s="185"/>
    </row>
    <row r="123" spans="1:24" s="113" customFormat="1" x14ac:dyDescent="0.2">
      <c r="A123" s="73">
        <v>53</v>
      </c>
      <c r="B123" s="74">
        <f t="shared" si="4"/>
        <v>0</v>
      </c>
      <c r="C123" s="75">
        <f t="shared" si="0"/>
        <v>0</v>
      </c>
      <c r="D123" s="75">
        <f t="shared" si="5"/>
        <v>159.28389816204339</v>
      </c>
      <c r="E123" s="54">
        <f t="shared" si="6"/>
        <v>159.28389816204339</v>
      </c>
      <c r="F123" s="76">
        <f t="shared" si="20"/>
        <v>12463.295317880946</v>
      </c>
      <c r="G123" s="77">
        <f t="shared" si="17"/>
        <v>325.0289117714949</v>
      </c>
      <c r="H123" s="79">
        <f t="shared" si="7"/>
        <v>17226.532323889223</v>
      </c>
      <c r="I123" s="78">
        <f t="shared" si="18"/>
        <v>165.74501360945152</v>
      </c>
      <c r="J123" s="76">
        <f t="shared" si="8"/>
        <v>55318.472222222219</v>
      </c>
      <c r="K123" s="80">
        <f t="shared" si="2"/>
        <v>106.18926544136225</v>
      </c>
      <c r="L123" s="78">
        <f t="shared" si="9"/>
        <v>6.8111585332906976</v>
      </c>
      <c r="M123" s="59">
        <f t="shared" si="3"/>
        <v>27443.599179323617</v>
      </c>
      <c r="N123" s="80">
        <f t="shared" si="10"/>
        <v>82762.071401545836</v>
      </c>
      <c r="O123" s="54">
        <f t="shared" si="11"/>
        <v>66328.910079050824</v>
      </c>
      <c r="P123" s="54">
        <f t="shared" si="12"/>
        <v>1799.7168973333328</v>
      </c>
      <c r="Q123" s="54">
        <f t="shared" si="13"/>
        <v>298294.10164167313</v>
      </c>
      <c r="R123" s="54">
        <f t="shared" si="14"/>
        <v>239065.09720988243</v>
      </c>
      <c r="S123" s="54">
        <f t="shared" si="21"/>
        <v>215532.03024012729</v>
      </c>
      <c r="T123" s="81">
        <f t="shared" si="15"/>
        <v>172736.18713083159</v>
      </c>
      <c r="U123" s="82">
        <f t="shared" si="16"/>
        <v>2026</v>
      </c>
      <c r="V123" s="414">
        <v>4.4166666666666599</v>
      </c>
      <c r="W123" s="185"/>
      <c r="X123" s="185"/>
    </row>
    <row r="124" spans="1:24" s="113" customFormat="1" x14ac:dyDescent="0.2">
      <c r="A124" s="73">
        <v>54</v>
      </c>
      <c r="B124" s="74">
        <f t="shared" si="4"/>
        <v>0</v>
      </c>
      <c r="C124" s="75">
        <f t="shared" si="0"/>
        <v>0</v>
      </c>
      <c r="D124" s="75">
        <f t="shared" si="5"/>
        <v>159.28389816204339</v>
      </c>
      <c r="E124" s="54">
        <f t="shared" si="6"/>
        <v>159.28389816204339</v>
      </c>
      <c r="F124" s="76">
        <f t="shared" si="20"/>
        <v>12622.579216042988</v>
      </c>
      <c r="G124" s="77">
        <f t="shared" si="17"/>
        <v>325.0289117714949</v>
      </c>
      <c r="H124" s="79">
        <f t="shared" si="7"/>
        <v>17551.56123566072</v>
      </c>
      <c r="I124" s="78">
        <f t="shared" si="18"/>
        <v>165.74501360945152</v>
      </c>
      <c r="J124" s="76">
        <f t="shared" si="8"/>
        <v>55318.472222222219</v>
      </c>
      <c r="K124" s="80">
        <f t="shared" si="2"/>
        <v>106.18926544136225</v>
      </c>
      <c r="L124" s="78">
        <f t="shared" si="9"/>
        <v>6.8111585332906976</v>
      </c>
      <c r="M124" s="59">
        <f t="shared" si="3"/>
        <v>27443.599179323617</v>
      </c>
      <c r="N124" s="80">
        <f t="shared" si="10"/>
        <v>82762.071401545836</v>
      </c>
      <c r="O124" s="54">
        <f t="shared" si="11"/>
        <v>66136.01337337849</v>
      </c>
      <c r="P124" s="54">
        <f t="shared" si="12"/>
        <v>1806.7638376666666</v>
      </c>
      <c r="Q124" s="54">
        <f t="shared" si="13"/>
        <v>299462.0968631265</v>
      </c>
      <c r="R124" s="54">
        <f t="shared" si="14"/>
        <v>239303.20867476225</v>
      </c>
      <c r="S124" s="54">
        <f t="shared" si="21"/>
        <v>216700.02546158066</v>
      </c>
      <c r="T124" s="81">
        <f t="shared" si="15"/>
        <v>173167.19530138376</v>
      </c>
      <c r="U124" s="82">
        <f t="shared" si="16"/>
        <v>2026</v>
      </c>
      <c r="V124" s="414">
        <v>4.5</v>
      </c>
      <c r="W124" s="185"/>
      <c r="X124" s="185"/>
    </row>
    <row r="125" spans="1:24" s="113" customFormat="1" x14ac:dyDescent="0.2">
      <c r="A125" s="73">
        <v>55</v>
      </c>
      <c r="B125" s="74">
        <f t="shared" si="4"/>
        <v>0</v>
      </c>
      <c r="C125" s="75">
        <f t="shared" si="0"/>
        <v>0</v>
      </c>
      <c r="D125" s="75">
        <f t="shared" si="5"/>
        <v>159.28389816204339</v>
      </c>
      <c r="E125" s="54">
        <f t="shared" si="6"/>
        <v>159.28389816204339</v>
      </c>
      <c r="F125" s="76">
        <f t="shared" si="20"/>
        <v>12781.863114205031</v>
      </c>
      <c r="G125" s="77">
        <f t="shared" si="17"/>
        <v>325.0289117714949</v>
      </c>
      <c r="H125" s="79">
        <f t="shared" si="7"/>
        <v>17876.590147432216</v>
      </c>
      <c r="I125" s="78">
        <f t="shared" si="18"/>
        <v>165.74501360945152</v>
      </c>
      <c r="J125" s="76">
        <f t="shared" si="8"/>
        <v>55318.472222222219</v>
      </c>
      <c r="K125" s="80">
        <f t="shared" si="2"/>
        <v>106.18926544136225</v>
      </c>
      <c r="L125" s="78">
        <f t="shared" si="9"/>
        <v>6.8111585332906976</v>
      </c>
      <c r="M125" s="59">
        <f t="shared" si="3"/>
        <v>27443.599179323617</v>
      </c>
      <c r="N125" s="80">
        <f t="shared" si="10"/>
        <v>82762.071401545836</v>
      </c>
      <c r="O125" s="54">
        <f t="shared" si="11"/>
        <v>65943.677646908327</v>
      </c>
      <c r="P125" s="54">
        <f t="shared" si="12"/>
        <v>1813.8107779999996</v>
      </c>
      <c r="Q125" s="54">
        <f t="shared" si="13"/>
        <v>300630.09208457975</v>
      </c>
      <c r="R125" s="54">
        <f t="shared" si="14"/>
        <v>239537.91329364441</v>
      </c>
      <c r="S125" s="54">
        <f t="shared" si="21"/>
        <v>217868.02068303392</v>
      </c>
      <c r="T125" s="81">
        <f t="shared" si="15"/>
        <v>173594.23564673608</v>
      </c>
      <c r="U125" s="82">
        <f t="shared" si="16"/>
        <v>2026</v>
      </c>
      <c r="V125" s="414">
        <v>4.5833333333333304</v>
      </c>
      <c r="W125" s="185"/>
      <c r="X125" s="185"/>
    </row>
    <row r="126" spans="1:24" s="113" customFormat="1" x14ac:dyDescent="0.2">
      <c r="A126" s="73">
        <v>56</v>
      </c>
      <c r="B126" s="74">
        <f t="shared" si="4"/>
        <v>0</v>
      </c>
      <c r="C126" s="75">
        <f t="shared" si="0"/>
        <v>0</v>
      </c>
      <c r="D126" s="75">
        <f t="shared" si="5"/>
        <v>159.28389816204339</v>
      </c>
      <c r="E126" s="54">
        <f t="shared" si="6"/>
        <v>159.28389816204339</v>
      </c>
      <c r="F126" s="76">
        <f t="shared" si="20"/>
        <v>12941.147012367073</v>
      </c>
      <c r="G126" s="77">
        <f t="shared" si="17"/>
        <v>325.0289117714949</v>
      </c>
      <c r="H126" s="79">
        <f t="shared" si="7"/>
        <v>18201.619059203713</v>
      </c>
      <c r="I126" s="78">
        <f t="shared" si="18"/>
        <v>165.74501360945152</v>
      </c>
      <c r="J126" s="76">
        <f t="shared" si="8"/>
        <v>55318.472222222219</v>
      </c>
      <c r="K126" s="80">
        <f t="shared" si="2"/>
        <v>106.18926544136225</v>
      </c>
      <c r="L126" s="78">
        <f t="shared" si="9"/>
        <v>6.8111585332906976</v>
      </c>
      <c r="M126" s="59">
        <f t="shared" si="3"/>
        <v>27443.599179323617</v>
      </c>
      <c r="N126" s="80">
        <f t="shared" si="10"/>
        <v>82762.071401545836</v>
      </c>
      <c r="O126" s="54">
        <f t="shared" si="11"/>
        <v>65751.901268209374</v>
      </c>
      <c r="P126" s="54">
        <f t="shared" si="12"/>
        <v>1820.8577183333332</v>
      </c>
      <c r="Q126" s="54">
        <f t="shared" si="13"/>
        <v>301798.08730603318</v>
      </c>
      <c r="R126" s="54">
        <f t="shared" si="14"/>
        <v>239769.22886816581</v>
      </c>
      <c r="S126" s="54">
        <f t="shared" si="21"/>
        <v>219036.01590448734</v>
      </c>
      <c r="T126" s="81">
        <f t="shared" si="15"/>
        <v>174017.32759995645</v>
      </c>
      <c r="U126" s="82">
        <f t="shared" si="16"/>
        <v>2026</v>
      </c>
      <c r="V126" s="414">
        <v>4.6666666666666599</v>
      </c>
      <c r="W126" s="185"/>
      <c r="X126" s="185"/>
    </row>
    <row r="127" spans="1:24" s="113" customFormat="1" x14ac:dyDescent="0.2">
      <c r="A127" s="73">
        <v>57</v>
      </c>
      <c r="B127" s="74">
        <f t="shared" si="4"/>
        <v>0</v>
      </c>
      <c r="C127" s="75">
        <f t="shared" si="0"/>
        <v>0</v>
      </c>
      <c r="D127" s="75">
        <f t="shared" si="5"/>
        <v>159.28389816204339</v>
      </c>
      <c r="E127" s="54">
        <f t="shared" si="6"/>
        <v>159.28389816204339</v>
      </c>
      <c r="F127" s="76">
        <f t="shared" si="20"/>
        <v>13100.430910529116</v>
      </c>
      <c r="G127" s="77">
        <f t="shared" si="17"/>
        <v>325.0289117714949</v>
      </c>
      <c r="H127" s="79">
        <f t="shared" si="7"/>
        <v>18526.647970975209</v>
      </c>
      <c r="I127" s="78">
        <f t="shared" si="18"/>
        <v>165.74501360945152</v>
      </c>
      <c r="J127" s="76">
        <f t="shared" si="8"/>
        <v>55318.472222222219</v>
      </c>
      <c r="K127" s="80">
        <f t="shared" si="2"/>
        <v>106.18926544136225</v>
      </c>
      <c r="L127" s="78">
        <f t="shared" si="9"/>
        <v>6.8111585332906976</v>
      </c>
      <c r="M127" s="59">
        <f t="shared" si="3"/>
        <v>27443.599179323617</v>
      </c>
      <c r="N127" s="80">
        <f t="shared" si="10"/>
        <v>82762.071401545836</v>
      </c>
      <c r="O127" s="54">
        <f t="shared" si="11"/>
        <v>65560.682610595148</v>
      </c>
      <c r="P127" s="54">
        <f t="shared" si="12"/>
        <v>1827.9046586666664</v>
      </c>
      <c r="Q127" s="54">
        <f t="shared" si="13"/>
        <v>302966.08252748643</v>
      </c>
      <c r="R127" s="54">
        <f t="shared" si="14"/>
        <v>239997.17312523571</v>
      </c>
      <c r="S127" s="54">
        <f t="shared" si="21"/>
        <v>220204.0111259406</v>
      </c>
      <c r="T127" s="81">
        <f t="shared" si="15"/>
        <v>174436.49051464055</v>
      </c>
      <c r="U127" s="82">
        <f t="shared" si="16"/>
        <v>2026</v>
      </c>
      <c r="V127" s="414">
        <v>4.75</v>
      </c>
      <c r="W127" s="185"/>
      <c r="X127" s="185"/>
    </row>
    <row r="128" spans="1:24" s="113" customFormat="1" x14ac:dyDescent="0.2">
      <c r="A128" s="73">
        <v>58</v>
      </c>
      <c r="B128" s="74">
        <f t="shared" si="4"/>
        <v>0</v>
      </c>
      <c r="C128" s="75">
        <f t="shared" si="0"/>
        <v>0</v>
      </c>
      <c r="D128" s="75">
        <f t="shared" si="5"/>
        <v>159.28389816204339</v>
      </c>
      <c r="E128" s="54">
        <f t="shared" si="6"/>
        <v>159.28389816204339</v>
      </c>
      <c r="F128" s="76">
        <f t="shared" si="20"/>
        <v>13259.714808691158</v>
      </c>
      <c r="G128" s="77">
        <f t="shared" si="17"/>
        <v>325.0289117714949</v>
      </c>
      <c r="H128" s="79">
        <f t="shared" si="7"/>
        <v>18851.676882746706</v>
      </c>
      <c r="I128" s="78">
        <f t="shared" si="18"/>
        <v>165.74501360945152</v>
      </c>
      <c r="J128" s="76">
        <f t="shared" si="8"/>
        <v>55318.472222222219</v>
      </c>
      <c r="K128" s="80">
        <f t="shared" si="2"/>
        <v>106.18926544136225</v>
      </c>
      <c r="L128" s="78">
        <f t="shared" si="9"/>
        <v>6.8111585332906976</v>
      </c>
      <c r="M128" s="59">
        <f t="shared" si="3"/>
        <v>27443.599179323617</v>
      </c>
      <c r="N128" s="80">
        <f t="shared" si="10"/>
        <v>82762.071401545836</v>
      </c>
      <c r="O128" s="54">
        <f t="shared" si="11"/>
        <v>65370.020052109845</v>
      </c>
      <c r="P128" s="54">
        <f t="shared" si="12"/>
        <v>1834.951599</v>
      </c>
      <c r="Q128" s="54">
        <f t="shared" si="13"/>
        <v>304134.0777489398</v>
      </c>
      <c r="R128" s="54">
        <f t="shared" si="14"/>
        <v>240221.76371732022</v>
      </c>
      <c r="S128" s="54">
        <f t="shared" si="21"/>
        <v>221372.00634739397</v>
      </c>
      <c r="T128" s="81">
        <f t="shared" si="15"/>
        <v>174851.74366521038</v>
      </c>
      <c r="U128" s="82">
        <f t="shared" si="16"/>
        <v>2026</v>
      </c>
      <c r="V128" s="414">
        <v>4.8333333333333304</v>
      </c>
      <c r="W128" s="185"/>
      <c r="X128" s="185"/>
    </row>
    <row r="129" spans="1:24" s="113" customFormat="1" x14ac:dyDescent="0.2">
      <c r="A129" s="73">
        <v>59</v>
      </c>
      <c r="B129" s="74">
        <f t="shared" si="4"/>
        <v>0</v>
      </c>
      <c r="C129" s="75">
        <f t="shared" si="0"/>
        <v>0</v>
      </c>
      <c r="D129" s="75">
        <f t="shared" si="5"/>
        <v>159.28389816204339</v>
      </c>
      <c r="E129" s="54">
        <f t="shared" si="6"/>
        <v>159.28389816204339</v>
      </c>
      <c r="F129" s="76">
        <f t="shared" si="20"/>
        <v>13418.998706853201</v>
      </c>
      <c r="G129" s="77">
        <f t="shared" si="17"/>
        <v>325.0289117714949</v>
      </c>
      <c r="H129" s="79">
        <f t="shared" si="7"/>
        <v>19176.705794518202</v>
      </c>
      <c r="I129" s="78">
        <f t="shared" si="18"/>
        <v>165.74501360945152</v>
      </c>
      <c r="J129" s="76">
        <f t="shared" si="8"/>
        <v>55318.472222222219</v>
      </c>
      <c r="K129" s="80">
        <f t="shared" si="2"/>
        <v>106.18926544136225</v>
      </c>
      <c r="L129" s="78">
        <f t="shared" si="9"/>
        <v>6.8111585332906976</v>
      </c>
      <c r="M129" s="59">
        <f t="shared" si="3"/>
        <v>27443.599179323617</v>
      </c>
      <c r="N129" s="80">
        <f t="shared" si="10"/>
        <v>82762.071401545836</v>
      </c>
      <c r="O129" s="54">
        <f t="shared" si="11"/>
        <v>65179.911975514595</v>
      </c>
      <c r="P129" s="54">
        <f t="shared" si="12"/>
        <v>1841.9985393333329</v>
      </c>
      <c r="Q129" s="54">
        <f t="shared" si="13"/>
        <v>305302.07297039311</v>
      </c>
      <c r="R129" s="54">
        <f t="shared" si="14"/>
        <v>240443.01822272505</v>
      </c>
      <c r="S129" s="54">
        <f t="shared" si="21"/>
        <v>222540.00156884728</v>
      </c>
      <c r="T129" s="81">
        <f t="shared" si="15"/>
        <v>175263.10624721044</v>
      </c>
      <c r="U129" s="82">
        <f t="shared" si="16"/>
        <v>2026</v>
      </c>
      <c r="V129" s="414">
        <v>4.9166666666666599</v>
      </c>
      <c r="W129" s="185"/>
      <c r="X129" s="185"/>
    </row>
    <row r="130" spans="1:24" s="113" customFormat="1" x14ac:dyDescent="0.2">
      <c r="A130" s="83">
        <v>60</v>
      </c>
      <c r="B130" s="84">
        <f t="shared" si="4"/>
        <v>0</v>
      </c>
      <c r="C130" s="85">
        <f t="shared" si="0"/>
        <v>0</v>
      </c>
      <c r="D130" s="85">
        <f t="shared" si="5"/>
        <v>159.28389816204339</v>
      </c>
      <c r="E130" s="86">
        <f t="shared" si="6"/>
        <v>159.28389816204339</v>
      </c>
      <c r="F130" s="87">
        <f t="shared" si="20"/>
        <v>13578.282605015243</v>
      </c>
      <c r="G130" s="77">
        <f t="shared" si="17"/>
        <v>325.0289117714949</v>
      </c>
      <c r="H130" s="89">
        <f t="shared" si="7"/>
        <v>19501.734706289699</v>
      </c>
      <c r="I130" s="88">
        <f t="shared" si="18"/>
        <v>165.74501360945152</v>
      </c>
      <c r="J130" s="76">
        <f t="shared" si="8"/>
        <v>55318.472222222219</v>
      </c>
      <c r="K130" s="90">
        <f t="shared" si="2"/>
        <v>106.18926544136225</v>
      </c>
      <c r="L130" s="78">
        <f t="shared" si="9"/>
        <v>6.8111585332906976</v>
      </c>
      <c r="M130" s="59">
        <f t="shared" si="3"/>
        <v>27443.599179323617</v>
      </c>
      <c r="N130" s="80">
        <f t="shared" si="10"/>
        <v>82762.071401545836</v>
      </c>
      <c r="O130" s="54">
        <f t="shared" si="11"/>
        <v>64990.356768273778</v>
      </c>
      <c r="P130" s="54">
        <f t="shared" si="12"/>
        <v>1849.0454796666663</v>
      </c>
      <c r="Q130" s="54">
        <f t="shared" si="13"/>
        <v>306470.06819184643</v>
      </c>
      <c r="R130" s="54">
        <f t="shared" si="14"/>
        <v>240660.95414587785</v>
      </c>
      <c r="S130" s="54">
        <f t="shared" si="21"/>
        <v>223707.99679030059</v>
      </c>
      <c r="T130" s="81">
        <f t="shared" si="15"/>
        <v>175670.59737760408</v>
      </c>
      <c r="U130" s="82">
        <f t="shared" si="16"/>
        <v>2026</v>
      </c>
      <c r="V130" s="414">
        <v>5</v>
      </c>
      <c r="W130" s="185"/>
      <c r="X130" s="185"/>
    </row>
    <row r="131" spans="1:24" s="113" customFormat="1" x14ac:dyDescent="0.2">
      <c r="A131" s="73">
        <v>61</v>
      </c>
      <c r="B131" s="74">
        <f t="shared" si="4"/>
        <v>0</v>
      </c>
      <c r="C131" s="75">
        <f t="shared" si="0"/>
        <v>0</v>
      </c>
      <c r="D131" s="75">
        <f t="shared" si="5"/>
        <v>159.28389816204339</v>
      </c>
      <c r="E131" s="54">
        <f t="shared" si="6"/>
        <v>159.28389816204339</v>
      </c>
      <c r="F131" s="76">
        <f t="shared" si="20"/>
        <v>13737.566503177286</v>
      </c>
      <c r="G131" s="77">
        <f t="shared" si="17"/>
        <v>325.0289117714949</v>
      </c>
      <c r="H131" s="79">
        <f t="shared" si="7"/>
        <v>19826.763618061195</v>
      </c>
      <c r="I131" s="78">
        <f t="shared" si="18"/>
        <v>165.74501360945152</v>
      </c>
      <c r="J131" s="76">
        <f t="shared" si="8"/>
        <v>55318.472222222219</v>
      </c>
      <c r="K131" s="80">
        <f t="shared" si="2"/>
        <v>106.18926544136225</v>
      </c>
      <c r="L131" s="78">
        <f t="shared" si="9"/>
        <v>6.8111585332906976</v>
      </c>
      <c r="M131" s="59">
        <f t="shared" si="3"/>
        <v>27443.599179323617</v>
      </c>
      <c r="N131" s="80">
        <f t="shared" si="10"/>
        <v>82762.071401545836</v>
      </c>
      <c r="O131" s="54">
        <f t="shared" si="11"/>
        <v>64801.352822541376</v>
      </c>
      <c r="P131" s="54">
        <f t="shared" si="12"/>
        <v>1856.0924199999997</v>
      </c>
      <c r="Q131" s="54">
        <f t="shared" si="13"/>
        <v>307638.06341329974</v>
      </c>
      <c r="R131" s="54">
        <f t="shared" si="14"/>
        <v>240875.58891760942</v>
      </c>
      <c r="S131" s="54">
        <f t="shared" si="21"/>
        <v>224875.9920117539</v>
      </c>
      <c r="T131" s="81">
        <f t="shared" si="15"/>
        <v>176074.23609506804</v>
      </c>
      <c r="U131" s="376">
        <f t="shared" si="16"/>
        <v>2027</v>
      </c>
      <c r="V131" s="414">
        <v>5.0833333333333304</v>
      </c>
      <c r="W131" s="185"/>
      <c r="X131" s="185"/>
    </row>
    <row r="132" spans="1:24" s="113" customFormat="1" x14ac:dyDescent="0.2">
      <c r="A132" s="73">
        <v>62</v>
      </c>
      <c r="B132" s="74">
        <f t="shared" si="4"/>
        <v>0</v>
      </c>
      <c r="C132" s="75">
        <f t="shared" si="0"/>
        <v>0</v>
      </c>
      <c r="D132" s="75">
        <f t="shared" si="5"/>
        <v>159.28389816204339</v>
      </c>
      <c r="E132" s="54">
        <f t="shared" si="6"/>
        <v>159.28389816204339</v>
      </c>
      <c r="F132" s="76">
        <f t="shared" si="20"/>
        <v>13896.850401339329</v>
      </c>
      <c r="G132" s="77">
        <f t="shared" si="17"/>
        <v>325.0289117714949</v>
      </c>
      <c r="H132" s="79">
        <f t="shared" si="7"/>
        <v>20151.792529832692</v>
      </c>
      <c r="I132" s="78">
        <f t="shared" si="18"/>
        <v>165.74501360945152</v>
      </c>
      <c r="J132" s="76">
        <f t="shared" si="8"/>
        <v>55318.472222222219</v>
      </c>
      <c r="K132" s="80">
        <f t="shared" si="2"/>
        <v>106.18926544136225</v>
      </c>
      <c r="L132" s="78">
        <f t="shared" si="9"/>
        <v>6.8111585332906976</v>
      </c>
      <c r="M132" s="59">
        <f t="shared" si="3"/>
        <v>27443.599179323617</v>
      </c>
      <c r="N132" s="80">
        <f t="shared" si="10"/>
        <v>82762.071401545836</v>
      </c>
      <c r="O132" s="54">
        <f t="shared" si="11"/>
        <v>64612.898535147193</v>
      </c>
      <c r="P132" s="54">
        <f t="shared" si="12"/>
        <v>1863.1393603333331</v>
      </c>
      <c r="Q132" s="54">
        <f t="shared" si="13"/>
        <v>308806.05863475311</v>
      </c>
      <c r="R132" s="54">
        <f t="shared" si="14"/>
        <v>241086.93989543302</v>
      </c>
      <c r="S132" s="54">
        <f t="shared" si="21"/>
        <v>226043.98723320727</v>
      </c>
      <c r="T132" s="81">
        <f t="shared" si="15"/>
        <v>176474.04136028583</v>
      </c>
      <c r="U132" s="82">
        <f t="shared" si="16"/>
        <v>2027</v>
      </c>
      <c r="V132" s="414">
        <v>5.1666666666666599</v>
      </c>
      <c r="W132" s="185"/>
      <c r="X132" s="185"/>
    </row>
    <row r="133" spans="1:24" s="113" customFormat="1" x14ac:dyDescent="0.2">
      <c r="A133" s="73">
        <v>63</v>
      </c>
      <c r="B133" s="74">
        <f t="shared" si="4"/>
        <v>0</v>
      </c>
      <c r="C133" s="75">
        <f t="shared" si="0"/>
        <v>0</v>
      </c>
      <c r="D133" s="75">
        <f t="shared" si="5"/>
        <v>159.28389816204339</v>
      </c>
      <c r="E133" s="54">
        <f t="shared" si="6"/>
        <v>159.28389816204339</v>
      </c>
      <c r="F133" s="76">
        <f t="shared" si="20"/>
        <v>14056.134299501371</v>
      </c>
      <c r="G133" s="77">
        <f t="shared" si="17"/>
        <v>325.0289117714949</v>
      </c>
      <c r="H133" s="79">
        <f t="shared" si="7"/>
        <v>20476.821441604188</v>
      </c>
      <c r="I133" s="78">
        <f t="shared" si="18"/>
        <v>165.74501360945152</v>
      </c>
      <c r="J133" s="76">
        <f t="shared" si="8"/>
        <v>55318.472222222219</v>
      </c>
      <c r="K133" s="80">
        <f t="shared" si="2"/>
        <v>106.18926544136225</v>
      </c>
      <c r="L133" s="78">
        <f t="shared" si="9"/>
        <v>6.8111585332906976</v>
      </c>
      <c r="M133" s="59">
        <f t="shared" si="3"/>
        <v>27443.599179323617</v>
      </c>
      <c r="N133" s="80">
        <f t="shared" si="10"/>
        <v>82762.071401545836</v>
      </c>
      <c r="O133" s="54">
        <f t="shared" si="11"/>
        <v>64424.992307583423</v>
      </c>
      <c r="P133" s="54">
        <f t="shared" si="12"/>
        <v>1870.1863006666663</v>
      </c>
      <c r="Q133" s="54">
        <f t="shared" si="13"/>
        <v>309974.05385620642</v>
      </c>
      <c r="R133" s="54">
        <f t="shared" si="14"/>
        <v>241295.02436382405</v>
      </c>
      <c r="S133" s="54">
        <f t="shared" si="21"/>
        <v>227211.98245466058</v>
      </c>
      <c r="T133" s="81">
        <f t="shared" si="15"/>
        <v>176870.03205624063</v>
      </c>
      <c r="U133" s="82">
        <f t="shared" si="16"/>
        <v>2027</v>
      </c>
      <c r="V133" s="414">
        <v>5.25</v>
      </c>
      <c r="W133" s="185"/>
      <c r="X133" s="185"/>
    </row>
    <row r="134" spans="1:24" s="113" customFormat="1" x14ac:dyDescent="0.2">
      <c r="A134" s="73">
        <v>64</v>
      </c>
      <c r="B134" s="74">
        <f t="shared" si="4"/>
        <v>0</v>
      </c>
      <c r="C134" s="75">
        <f t="shared" si="0"/>
        <v>0</v>
      </c>
      <c r="D134" s="75">
        <f t="shared" si="5"/>
        <v>159.28389816204339</v>
      </c>
      <c r="E134" s="54">
        <f t="shared" si="6"/>
        <v>159.28389816204339</v>
      </c>
      <c r="F134" s="76">
        <f t="shared" si="20"/>
        <v>14215.418197663414</v>
      </c>
      <c r="G134" s="77">
        <f t="shared" si="17"/>
        <v>325.0289117714949</v>
      </c>
      <c r="H134" s="79">
        <f t="shared" si="7"/>
        <v>20801.850353375685</v>
      </c>
      <c r="I134" s="78">
        <f t="shared" si="18"/>
        <v>165.74501360945152</v>
      </c>
      <c r="J134" s="76">
        <f t="shared" si="8"/>
        <v>55318.472222222219</v>
      </c>
      <c r="K134" s="80">
        <f t="shared" si="2"/>
        <v>106.18926544136225</v>
      </c>
      <c r="L134" s="78">
        <f t="shared" si="9"/>
        <v>6.8111585332906976</v>
      </c>
      <c r="M134" s="59">
        <f t="shared" si="3"/>
        <v>27443.599179323617</v>
      </c>
      <c r="N134" s="80">
        <f t="shared" si="10"/>
        <v>82762.071401545836</v>
      </c>
      <c r="O134" s="54">
        <f t="shared" si="11"/>
        <v>64237.632545990928</v>
      </c>
      <c r="P134" s="54">
        <f t="shared" si="12"/>
        <v>1877.2332409999997</v>
      </c>
      <c r="Q134" s="54">
        <f t="shared" si="13"/>
        <v>311142.04907765973</v>
      </c>
      <c r="R134" s="54">
        <f t="shared" si="14"/>
        <v>241499.85953449761</v>
      </c>
      <c r="S134" s="54">
        <f t="shared" si="21"/>
        <v>228379.97767611389</v>
      </c>
      <c r="T134" s="81">
        <f t="shared" si="15"/>
        <v>177262.22698850668</v>
      </c>
      <c r="U134" s="82">
        <f t="shared" si="16"/>
        <v>2027</v>
      </c>
      <c r="V134" s="414">
        <v>5.3333333333333304</v>
      </c>
      <c r="W134" s="185"/>
      <c r="X134" s="185"/>
    </row>
    <row r="135" spans="1:24" s="113" customFormat="1" x14ac:dyDescent="0.2">
      <c r="A135" s="73">
        <v>65</v>
      </c>
      <c r="B135" s="74">
        <f t="shared" ref="B135:B198" si="22">IF(A135&lt;=$B$60, ($B$60-A135+1)*$B$61*$B$58, 0)</f>
        <v>0</v>
      </c>
      <c r="C135" s="75">
        <f t="shared" ref="C135:C198" si="23">IF(A135&lt;=$B$60, ($B$60-A135+1)*$B$62*(A135-0.5)*$B$58^2, 0)</f>
        <v>0</v>
      </c>
      <c r="D135" s="75">
        <f t="shared" ref="D135:D198" si="24">IF(A135&lt;=$B$60, $B$62*($B$58^2)*((A135-1)^2)/2, $B$62*($B$58^2)*(($B$60)^2)/2)</f>
        <v>159.28389816204339</v>
      </c>
      <c r="E135" s="54">
        <f t="shared" si="6"/>
        <v>159.28389816204339</v>
      </c>
      <c r="F135" s="76">
        <f t="shared" si="20"/>
        <v>14374.702095825456</v>
      </c>
      <c r="G135" s="77">
        <f t="shared" si="17"/>
        <v>325.0289117714949</v>
      </c>
      <c r="H135" s="79">
        <f t="shared" si="7"/>
        <v>21126.879265147181</v>
      </c>
      <c r="I135" s="78">
        <f t="shared" ref="I135:I198" si="25">G135-E135</f>
        <v>165.74501360945152</v>
      </c>
      <c r="J135" s="76">
        <f t="shared" si="8"/>
        <v>55318.472222222219</v>
      </c>
      <c r="K135" s="80">
        <f t="shared" ref="K135:K198" si="26">IF(A135&lt;=$B$60,$B$29/$B$60+A135*$B$58*$B$62,$B$62*$B$58*$B$60)</f>
        <v>106.18926544136225</v>
      </c>
      <c r="L135" s="78">
        <f t="shared" si="9"/>
        <v>6.8111585332906976</v>
      </c>
      <c r="M135" s="59">
        <f t="shared" ref="M135:M198" si="27">(K135/$B$29/$B$50)*($B$35*$B$51+$B$38*$B$52)</f>
        <v>27443.599179323617</v>
      </c>
      <c r="N135" s="80">
        <f t="shared" si="10"/>
        <v>82762.071401545836</v>
      </c>
      <c r="O135" s="54">
        <f t="shared" si="11"/>
        <v>64050.817661145935</v>
      </c>
      <c r="P135" s="54">
        <f t="shared" si="12"/>
        <v>1884.2801813333331</v>
      </c>
      <c r="Q135" s="54">
        <f t="shared" si="13"/>
        <v>312310.04429911304</v>
      </c>
      <c r="R135" s="54">
        <f t="shared" si="14"/>
        <v>241701.46254668618</v>
      </c>
      <c r="S135" s="54">
        <f t="shared" ref="S135" si="28">Q135-N135</f>
        <v>229547.9728975672</v>
      </c>
      <c r="T135" s="81">
        <f t="shared" si="15"/>
        <v>177650.64488554024</v>
      </c>
      <c r="U135" s="82">
        <f t="shared" si="16"/>
        <v>2027</v>
      </c>
      <c r="V135" s="414">
        <v>5.4166666666666599</v>
      </c>
      <c r="W135" s="185"/>
      <c r="X135" s="185"/>
    </row>
    <row r="136" spans="1:24" s="113" customFormat="1" x14ac:dyDescent="0.2">
      <c r="A136" s="73">
        <v>66</v>
      </c>
      <c r="B136" s="74">
        <f t="shared" si="22"/>
        <v>0</v>
      </c>
      <c r="C136" s="75">
        <f t="shared" si="23"/>
        <v>0</v>
      </c>
      <c r="D136" s="75">
        <f t="shared" si="24"/>
        <v>159.28389816204339</v>
      </c>
      <c r="E136" s="54">
        <f t="shared" ref="E136:E199" si="29">SUM(B136:D136)</f>
        <v>159.28389816204339</v>
      </c>
      <c r="F136" s="76">
        <f t="shared" si="20"/>
        <v>14533.985993987499</v>
      </c>
      <c r="G136" s="77">
        <f t="shared" si="17"/>
        <v>325.0289117714949</v>
      </c>
      <c r="H136" s="79">
        <f t="shared" ref="H136:H199" si="30">G136+H135</f>
        <v>21451.908176918678</v>
      </c>
      <c r="I136" s="78">
        <f t="shared" si="25"/>
        <v>165.74501360945152</v>
      </c>
      <c r="J136" s="76">
        <f t="shared" ref="J136:J199" si="31">$B$63</f>
        <v>55318.472222222219</v>
      </c>
      <c r="K136" s="80">
        <f t="shared" si="26"/>
        <v>106.18926544136225</v>
      </c>
      <c r="L136" s="78">
        <f t="shared" ref="L136:L199" si="32">K136/$B$29*($B$35+$B$38)</f>
        <v>6.8111585332906976</v>
      </c>
      <c r="M136" s="59">
        <f t="shared" si="27"/>
        <v>27443.599179323617</v>
      </c>
      <c r="N136" s="80">
        <f t="shared" ref="N136:N199" si="33">J136+M136</f>
        <v>82762.071401545836</v>
      </c>
      <c r="O136" s="54">
        <f t="shared" ref="O136:O199" si="34">N136/((1+$B$41*$B$58)^((24+A136-1)))</f>
        <v>63864.546068446281</v>
      </c>
      <c r="P136" s="54">
        <f t="shared" ref="P136:P199" si="35">$P$71*(1+$B$44*(A136-1)*$B$58)</f>
        <v>1891.3271216666665</v>
      </c>
      <c r="Q136" s="54">
        <f t="shared" ref="Q136:Q199" si="36">(G136-E136)*P136</f>
        <v>313478.03952056641</v>
      </c>
      <c r="R136" s="54">
        <f t="shared" ref="R136:R199" si="37">Q136/((1+$B$41*$B$58)^((24+A136-1)))</f>
        <v>241899.85046741474</v>
      </c>
      <c r="S136" s="54">
        <f t="shared" ref="S136:S199" si="38">Q136-N136</f>
        <v>230715.96811902057</v>
      </c>
      <c r="T136" s="81">
        <f t="shared" ref="T136:T199" si="39">S136/((1+$B$41*$B$58)^((24+A136-1)))</f>
        <v>178035.30439896844</v>
      </c>
      <c r="U136" s="82">
        <f t="shared" ref="U136:U199" si="40">IF(MOD(A135,12)=0,U135+1,U135)</f>
        <v>2027</v>
      </c>
      <c r="V136" s="414">
        <v>5.5</v>
      </c>
      <c r="W136" s="185"/>
      <c r="X136" s="185"/>
    </row>
    <row r="137" spans="1:24" s="113" customFormat="1" x14ac:dyDescent="0.2">
      <c r="A137" s="73">
        <v>67</v>
      </c>
      <c r="B137" s="74">
        <f t="shared" si="22"/>
        <v>0</v>
      </c>
      <c r="C137" s="75">
        <f t="shared" si="23"/>
        <v>0</v>
      </c>
      <c r="D137" s="75">
        <f t="shared" si="24"/>
        <v>159.28389816204339</v>
      </c>
      <c r="E137" s="54">
        <f t="shared" si="29"/>
        <v>159.28389816204339</v>
      </c>
      <c r="F137" s="76">
        <f t="shared" si="20"/>
        <v>14693.269892149541</v>
      </c>
      <c r="G137" s="77">
        <f t="shared" ref="G137:G200" si="41">G136</f>
        <v>325.0289117714949</v>
      </c>
      <c r="H137" s="79">
        <f t="shared" si="30"/>
        <v>21776.937088690174</v>
      </c>
      <c r="I137" s="78">
        <f t="shared" si="25"/>
        <v>165.74501360945152</v>
      </c>
      <c r="J137" s="76">
        <f t="shared" si="31"/>
        <v>55318.472222222219</v>
      </c>
      <c r="K137" s="80">
        <f t="shared" si="26"/>
        <v>106.18926544136225</v>
      </c>
      <c r="L137" s="78">
        <f t="shared" si="32"/>
        <v>6.8111585332906976</v>
      </c>
      <c r="M137" s="59">
        <f t="shared" si="27"/>
        <v>27443.599179323617</v>
      </c>
      <c r="N137" s="80">
        <f t="shared" si="33"/>
        <v>82762.071401545836</v>
      </c>
      <c r="O137" s="54">
        <f t="shared" si="34"/>
        <v>63678.81618789825</v>
      </c>
      <c r="P137" s="54">
        <f t="shared" si="35"/>
        <v>1898.3740619999999</v>
      </c>
      <c r="Q137" s="54">
        <f t="shared" si="36"/>
        <v>314646.03474201972</v>
      </c>
      <c r="R137" s="54">
        <f t="shared" si="37"/>
        <v>242095.04029177647</v>
      </c>
      <c r="S137" s="54">
        <f t="shared" si="38"/>
        <v>231883.96334047389</v>
      </c>
      <c r="T137" s="81">
        <f t="shared" si="39"/>
        <v>178416.22410387822</v>
      </c>
      <c r="U137" s="82">
        <f t="shared" si="40"/>
        <v>2027</v>
      </c>
      <c r="V137" s="414">
        <v>5.5833333333333304</v>
      </c>
      <c r="W137" s="185"/>
      <c r="X137" s="185"/>
    </row>
    <row r="138" spans="1:24" s="113" customFormat="1" x14ac:dyDescent="0.2">
      <c r="A138" s="73">
        <v>68</v>
      </c>
      <c r="B138" s="74">
        <f t="shared" si="22"/>
        <v>0</v>
      </c>
      <c r="C138" s="75">
        <f t="shared" si="23"/>
        <v>0</v>
      </c>
      <c r="D138" s="75">
        <f t="shared" si="24"/>
        <v>159.28389816204339</v>
      </c>
      <c r="E138" s="54">
        <f t="shared" si="29"/>
        <v>159.28389816204339</v>
      </c>
      <c r="F138" s="76">
        <f t="shared" ref="F138:F201" si="42">E138+F137</f>
        <v>14852.553790311584</v>
      </c>
      <c r="G138" s="77">
        <f t="shared" si="41"/>
        <v>325.0289117714949</v>
      </c>
      <c r="H138" s="79">
        <f t="shared" si="30"/>
        <v>22101.966000461671</v>
      </c>
      <c r="I138" s="78">
        <f t="shared" si="25"/>
        <v>165.74501360945152</v>
      </c>
      <c r="J138" s="76">
        <f t="shared" si="31"/>
        <v>55318.472222222219</v>
      </c>
      <c r="K138" s="80">
        <f t="shared" si="26"/>
        <v>106.18926544136225</v>
      </c>
      <c r="L138" s="78">
        <f t="shared" si="32"/>
        <v>6.8111585332906976</v>
      </c>
      <c r="M138" s="59">
        <f t="shared" si="27"/>
        <v>27443.599179323617</v>
      </c>
      <c r="N138" s="80">
        <f t="shared" si="33"/>
        <v>82762.071401545836</v>
      </c>
      <c r="O138" s="54">
        <f t="shared" si="34"/>
        <v>63493.626444102934</v>
      </c>
      <c r="P138" s="54">
        <f t="shared" si="35"/>
        <v>1905.4210023333333</v>
      </c>
      <c r="Q138" s="54">
        <f t="shared" si="36"/>
        <v>315814.02996347309</v>
      </c>
      <c r="R138" s="54">
        <f t="shared" si="37"/>
        <v>242287.04894320658</v>
      </c>
      <c r="S138" s="54">
        <f t="shared" si="38"/>
        <v>233051.95856192725</v>
      </c>
      <c r="T138" s="81">
        <f t="shared" si="39"/>
        <v>178793.42249910362</v>
      </c>
      <c r="U138" s="82">
        <f t="shared" si="40"/>
        <v>2027</v>
      </c>
      <c r="V138" s="414">
        <v>5.6666666666666599</v>
      </c>
      <c r="W138" s="185"/>
      <c r="X138" s="185"/>
    </row>
    <row r="139" spans="1:24" s="113" customFormat="1" x14ac:dyDescent="0.2">
      <c r="A139" s="73">
        <v>69</v>
      </c>
      <c r="B139" s="74">
        <f t="shared" si="22"/>
        <v>0</v>
      </c>
      <c r="C139" s="75">
        <f t="shared" si="23"/>
        <v>0</v>
      </c>
      <c r="D139" s="75">
        <f t="shared" si="24"/>
        <v>159.28389816204339</v>
      </c>
      <c r="E139" s="54">
        <f t="shared" si="29"/>
        <v>159.28389816204339</v>
      </c>
      <c r="F139" s="76">
        <f t="shared" si="42"/>
        <v>15011.837688473626</v>
      </c>
      <c r="G139" s="77">
        <f t="shared" si="41"/>
        <v>325.0289117714949</v>
      </c>
      <c r="H139" s="79">
        <f t="shared" si="30"/>
        <v>22426.994912233167</v>
      </c>
      <c r="I139" s="78">
        <f t="shared" si="25"/>
        <v>165.74501360945152</v>
      </c>
      <c r="J139" s="76">
        <f t="shared" si="31"/>
        <v>55318.472222222219</v>
      </c>
      <c r="K139" s="80">
        <f t="shared" si="26"/>
        <v>106.18926544136225</v>
      </c>
      <c r="L139" s="78">
        <f t="shared" si="32"/>
        <v>6.8111585332906976</v>
      </c>
      <c r="M139" s="59">
        <f t="shared" si="27"/>
        <v>27443.599179323617</v>
      </c>
      <c r="N139" s="80">
        <f t="shared" si="33"/>
        <v>82762.071401545836</v>
      </c>
      <c r="O139" s="54">
        <f t="shared" si="34"/>
        <v>63308.975266243084</v>
      </c>
      <c r="P139" s="54">
        <f t="shared" si="35"/>
        <v>1912.4679426666664</v>
      </c>
      <c r="Q139" s="54">
        <f t="shared" si="36"/>
        <v>316982.0251849264</v>
      </c>
      <c r="R139" s="54">
        <f t="shared" si="37"/>
        <v>242475.89327375533</v>
      </c>
      <c r="S139" s="54">
        <f t="shared" si="38"/>
        <v>234219.95378338057</v>
      </c>
      <c r="T139" s="81">
        <f t="shared" si="39"/>
        <v>179166.91800751226</v>
      </c>
      <c r="U139" s="82">
        <f t="shared" si="40"/>
        <v>2027</v>
      </c>
      <c r="V139" s="414">
        <v>5.75</v>
      </c>
      <c r="W139" s="185"/>
      <c r="X139" s="185"/>
    </row>
    <row r="140" spans="1:24" s="113" customFormat="1" x14ac:dyDescent="0.2">
      <c r="A140" s="73">
        <v>70</v>
      </c>
      <c r="B140" s="74">
        <f t="shared" si="22"/>
        <v>0</v>
      </c>
      <c r="C140" s="75">
        <f t="shared" si="23"/>
        <v>0</v>
      </c>
      <c r="D140" s="75">
        <f t="shared" si="24"/>
        <v>159.28389816204339</v>
      </c>
      <c r="E140" s="54">
        <f t="shared" si="29"/>
        <v>159.28389816204339</v>
      </c>
      <c r="F140" s="76">
        <f t="shared" si="42"/>
        <v>15171.121586635669</v>
      </c>
      <c r="G140" s="77">
        <f t="shared" si="41"/>
        <v>325.0289117714949</v>
      </c>
      <c r="H140" s="79">
        <f t="shared" si="30"/>
        <v>22752.023824004664</v>
      </c>
      <c r="I140" s="78">
        <f t="shared" si="25"/>
        <v>165.74501360945152</v>
      </c>
      <c r="J140" s="76">
        <f t="shared" si="31"/>
        <v>55318.472222222219</v>
      </c>
      <c r="K140" s="80">
        <f t="shared" si="26"/>
        <v>106.18926544136225</v>
      </c>
      <c r="L140" s="78">
        <f t="shared" si="32"/>
        <v>6.8111585332906976</v>
      </c>
      <c r="M140" s="59">
        <f t="shared" si="27"/>
        <v>27443.599179323617</v>
      </c>
      <c r="N140" s="80">
        <f t="shared" si="33"/>
        <v>82762.071401545836</v>
      </c>
      <c r="O140" s="54">
        <f t="shared" si="34"/>
        <v>63124.861088069534</v>
      </c>
      <c r="P140" s="54">
        <f t="shared" si="35"/>
        <v>1919.5148829999996</v>
      </c>
      <c r="Q140" s="54">
        <f t="shared" si="36"/>
        <v>318150.02040637966</v>
      </c>
      <c r="R140" s="54">
        <f t="shared" si="37"/>
        <v>242661.59006435995</v>
      </c>
      <c r="S140" s="54">
        <f t="shared" si="38"/>
        <v>235387.94900483382</v>
      </c>
      <c r="T140" s="81">
        <f t="shared" si="39"/>
        <v>179536.72897629041</v>
      </c>
      <c r="U140" s="82">
        <f t="shared" si="40"/>
        <v>2027</v>
      </c>
      <c r="V140" s="414">
        <v>5.8333333333333304</v>
      </c>
      <c r="W140" s="185"/>
      <c r="X140" s="185"/>
    </row>
    <row r="141" spans="1:24" s="113" customFormat="1" x14ac:dyDescent="0.2">
      <c r="A141" s="73">
        <v>71</v>
      </c>
      <c r="B141" s="74">
        <f t="shared" si="22"/>
        <v>0</v>
      </c>
      <c r="C141" s="75">
        <f t="shared" si="23"/>
        <v>0</v>
      </c>
      <c r="D141" s="75">
        <f t="shared" si="24"/>
        <v>159.28389816204339</v>
      </c>
      <c r="E141" s="54">
        <f t="shared" si="29"/>
        <v>159.28389816204339</v>
      </c>
      <c r="F141" s="76">
        <f t="shared" si="42"/>
        <v>15330.405484797711</v>
      </c>
      <c r="G141" s="77">
        <f t="shared" si="41"/>
        <v>325.0289117714949</v>
      </c>
      <c r="H141" s="79">
        <f t="shared" si="30"/>
        <v>23077.05273577616</v>
      </c>
      <c r="I141" s="78">
        <f t="shared" si="25"/>
        <v>165.74501360945152</v>
      </c>
      <c r="J141" s="76">
        <f t="shared" si="31"/>
        <v>55318.472222222219</v>
      </c>
      <c r="K141" s="80">
        <f t="shared" si="26"/>
        <v>106.18926544136225</v>
      </c>
      <c r="L141" s="78">
        <f t="shared" si="32"/>
        <v>6.8111585332906976</v>
      </c>
      <c r="M141" s="59">
        <f t="shared" si="27"/>
        <v>27443.599179323617</v>
      </c>
      <c r="N141" s="80">
        <f t="shared" si="33"/>
        <v>82762.071401545836</v>
      </c>
      <c r="O141" s="54">
        <f t="shared" si="34"/>
        <v>62941.282347888198</v>
      </c>
      <c r="P141" s="54">
        <f t="shared" si="35"/>
        <v>1926.5618233333332</v>
      </c>
      <c r="Q141" s="54">
        <f t="shared" si="36"/>
        <v>319318.01562783303</v>
      </c>
      <c r="R141" s="54">
        <f t="shared" si="37"/>
        <v>242844.15602511633</v>
      </c>
      <c r="S141" s="54">
        <f t="shared" si="38"/>
        <v>236555.94422628719</v>
      </c>
      <c r="T141" s="81">
        <f t="shared" si="39"/>
        <v>179902.87367722814</v>
      </c>
      <c r="U141" s="82">
        <f t="shared" si="40"/>
        <v>2027</v>
      </c>
      <c r="V141" s="414">
        <v>5.9166666666666599</v>
      </c>
      <c r="W141" s="185"/>
      <c r="X141" s="185"/>
    </row>
    <row r="142" spans="1:24" s="113" customFormat="1" x14ac:dyDescent="0.2">
      <c r="A142" s="73">
        <v>72</v>
      </c>
      <c r="B142" s="74">
        <f t="shared" si="22"/>
        <v>0</v>
      </c>
      <c r="C142" s="75">
        <f t="shared" si="23"/>
        <v>0</v>
      </c>
      <c r="D142" s="75">
        <f t="shared" si="24"/>
        <v>159.28389816204339</v>
      </c>
      <c r="E142" s="54">
        <f t="shared" si="29"/>
        <v>159.28389816204339</v>
      </c>
      <c r="F142" s="76">
        <f t="shared" si="42"/>
        <v>15489.689382959754</v>
      </c>
      <c r="G142" s="77">
        <f t="shared" si="41"/>
        <v>325.0289117714949</v>
      </c>
      <c r="H142" s="79">
        <f t="shared" si="30"/>
        <v>23402.081647547657</v>
      </c>
      <c r="I142" s="78">
        <f t="shared" si="25"/>
        <v>165.74501360945152</v>
      </c>
      <c r="J142" s="76">
        <f t="shared" si="31"/>
        <v>55318.472222222219</v>
      </c>
      <c r="K142" s="80">
        <f t="shared" si="26"/>
        <v>106.18926544136225</v>
      </c>
      <c r="L142" s="78">
        <f t="shared" si="32"/>
        <v>6.8111585332906976</v>
      </c>
      <c r="M142" s="59">
        <f t="shared" si="27"/>
        <v>27443.599179323617</v>
      </c>
      <c r="N142" s="80">
        <f t="shared" si="33"/>
        <v>82762.071401545836</v>
      </c>
      <c r="O142" s="54">
        <f t="shared" si="34"/>
        <v>62758.237488546583</v>
      </c>
      <c r="P142" s="54">
        <f t="shared" si="35"/>
        <v>1933.6087636666662</v>
      </c>
      <c r="Q142" s="54">
        <f t="shared" si="36"/>
        <v>320486.01084928634</v>
      </c>
      <c r="R142" s="54">
        <f t="shared" si="37"/>
        <v>243023.60779554819</v>
      </c>
      <c r="S142" s="54">
        <f t="shared" si="38"/>
        <v>237723.9394477405</v>
      </c>
      <c r="T142" s="81">
        <f t="shared" si="39"/>
        <v>180265.37030700158</v>
      </c>
      <c r="U142" s="82">
        <f t="shared" si="40"/>
        <v>2027</v>
      </c>
      <c r="V142" s="414">
        <v>6</v>
      </c>
      <c r="W142" s="185"/>
      <c r="X142" s="185"/>
    </row>
    <row r="143" spans="1:24" s="113" customFormat="1" x14ac:dyDescent="0.2">
      <c r="A143" s="73">
        <v>73</v>
      </c>
      <c r="B143" s="74">
        <f t="shared" si="22"/>
        <v>0</v>
      </c>
      <c r="C143" s="75">
        <f t="shared" si="23"/>
        <v>0</v>
      </c>
      <c r="D143" s="75">
        <f t="shared" si="24"/>
        <v>159.28389816204339</v>
      </c>
      <c r="E143" s="54">
        <f t="shared" si="29"/>
        <v>159.28389816204339</v>
      </c>
      <c r="F143" s="76">
        <f t="shared" si="42"/>
        <v>15648.973281121796</v>
      </c>
      <c r="G143" s="77">
        <f t="shared" si="41"/>
        <v>325.0289117714949</v>
      </c>
      <c r="H143" s="79">
        <f t="shared" si="30"/>
        <v>23727.110559319153</v>
      </c>
      <c r="I143" s="78">
        <f t="shared" si="25"/>
        <v>165.74501360945152</v>
      </c>
      <c r="J143" s="76">
        <f t="shared" si="31"/>
        <v>55318.472222222219</v>
      </c>
      <c r="K143" s="80">
        <f t="shared" si="26"/>
        <v>106.18926544136225</v>
      </c>
      <c r="L143" s="78">
        <f t="shared" si="32"/>
        <v>6.8111585332906976</v>
      </c>
      <c r="M143" s="59">
        <f t="shared" si="27"/>
        <v>27443.599179323617</v>
      </c>
      <c r="N143" s="80">
        <f t="shared" si="33"/>
        <v>82762.071401545836</v>
      </c>
      <c r="O143" s="54">
        <f t="shared" si="34"/>
        <v>62575.724957420804</v>
      </c>
      <c r="P143" s="54">
        <f t="shared" si="35"/>
        <v>1940.6557039999996</v>
      </c>
      <c r="Q143" s="54">
        <f t="shared" si="36"/>
        <v>321654.00607073965</v>
      </c>
      <c r="R143" s="54">
        <f t="shared" si="37"/>
        <v>243199.96194487732</v>
      </c>
      <c r="S143" s="54">
        <f t="shared" si="38"/>
        <v>238891.93466919381</v>
      </c>
      <c r="T143" s="81">
        <f t="shared" si="39"/>
        <v>180624.2369874565</v>
      </c>
      <c r="U143" s="376">
        <f t="shared" si="40"/>
        <v>2028</v>
      </c>
      <c r="V143" s="414">
        <v>6.0833333333333304</v>
      </c>
      <c r="W143" s="185"/>
      <c r="X143" s="185"/>
    </row>
    <row r="144" spans="1:24" s="113" customFormat="1" x14ac:dyDescent="0.2">
      <c r="A144" s="73">
        <v>74</v>
      </c>
      <c r="B144" s="74">
        <f t="shared" si="22"/>
        <v>0</v>
      </c>
      <c r="C144" s="75">
        <f t="shared" si="23"/>
        <v>0</v>
      </c>
      <c r="D144" s="75">
        <f t="shared" si="24"/>
        <v>159.28389816204339</v>
      </c>
      <c r="E144" s="54">
        <f t="shared" si="29"/>
        <v>159.28389816204339</v>
      </c>
      <c r="F144" s="76">
        <f t="shared" si="42"/>
        <v>15808.257179283839</v>
      </c>
      <c r="G144" s="77">
        <f t="shared" si="41"/>
        <v>325.0289117714949</v>
      </c>
      <c r="H144" s="79">
        <f t="shared" si="30"/>
        <v>24052.13947109065</v>
      </c>
      <c r="I144" s="78">
        <f t="shared" si="25"/>
        <v>165.74501360945152</v>
      </c>
      <c r="J144" s="76">
        <f t="shared" si="31"/>
        <v>55318.472222222219</v>
      </c>
      <c r="K144" s="80">
        <f t="shared" si="26"/>
        <v>106.18926544136225</v>
      </c>
      <c r="L144" s="78">
        <f t="shared" si="32"/>
        <v>6.8111585332906976</v>
      </c>
      <c r="M144" s="59">
        <f t="shared" si="27"/>
        <v>27443.599179323617</v>
      </c>
      <c r="N144" s="80">
        <f t="shared" si="33"/>
        <v>82762.071401545836</v>
      </c>
      <c r="O144" s="54">
        <f t="shared" si="34"/>
        <v>62393.743206402134</v>
      </c>
      <c r="P144" s="54">
        <f t="shared" si="35"/>
        <v>1947.702644333333</v>
      </c>
      <c r="Q144" s="54">
        <f t="shared" si="36"/>
        <v>322822.00129219296</v>
      </c>
      <c r="R144" s="54">
        <f t="shared" si="37"/>
        <v>243373.23497229058</v>
      </c>
      <c r="S144" s="54">
        <f t="shared" si="38"/>
        <v>240059.92989064712</v>
      </c>
      <c r="T144" s="81">
        <f t="shared" si="39"/>
        <v>180979.49176588844</v>
      </c>
      <c r="U144" s="82">
        <f t="shared" si="40"/>
        <v>2028</v>
      </c>
      <c r="V144" s="414">
        <v>6.1666666666666599</v>
      </c>
      <c r="W144" s="185"/>
      <c r="X144" s="185"/>
    </row>
    <row r="145" spans="1:24" s="113" customFormat="1" x14ac:dyDescent="0.2">
      <c r="A145" s="73">
        <v>75</v>
      </c>
      <c r="B145" s="74">
        <f t="shared" si="22"/>
        <v>0</v>
      </c>
      <c r="C145" s="75">
        <f t="shared" si="23"/>
        <v>0</v>
      </c>
      <c r="D145" s="75">
        <f t="shared" si="24"/>
        <v>159.28389816204339</v>
      </c>
      <c r="E145" s="54">
        <f t="shared" si="29"/>
        <v>159.28389816204339</v>
      </c>
      <c r="F145" s="76">
        <f t="shared" si="42"/>
        <v>15967.541077445881</v>
      </c>
      <c r="G145" s="77">
        <f t="shared" si="41"/>
        <v>325.0289117714949</v>
      </c>
      <c r="H145" s="79">
        <f t="shared" si="30"/>
        <v>24377.168382862146</v>
      </c>
      <c r="I145" s="78">
        <f t="shared" si="25"/>
        <v>165.74501360945152</v>
      </c>
      <c r="J145" s="76">
        <f t="shared" si="31"/>
        <v>55318.472222222219</v>
      </c>
      <c r="K145" s="80">
        <f t="shared" si="26"/>
        <v>106.18926544136225</v>
      </c>
      <c r="L145" s="78">
        <f t="shared" si="32"/>
        <v>6.8111585332906976</v>
      </c>
      <c r="M145" s="59">
        <f t="shared" si="27"/>
        <v>27443.599179323617</v>
      </c>
      <c r="N145" s="80">
        <f t="shared" si="33"/>
        <v>82762.071401545836</v>
      </c>
      <c r="O145" s="54">
        <f t="shared" si="34"/>
        <v>62212.290691884133</v>
      </c>
      <c r="P145" s="54">
        <f t="shared" si="35"/>
        <v>1954.7495846666664</v>
      </c>
      <c r="Q145" s="54">
        <f t="shared" si="36"/>
        <v>323989.99651364633</v>
      </c>
      <c r="R145" s="54">
        <f t="shared" si="37"/>
        <v>243543.44330720816</v>
      </c>
      <c r="S145" s="54">
        <f t="shared" si="38"/>
        <v>241227.92511210049</v>
      </c>
      <c r="T145" s="81">
        <f t="shared" si="39"/>
        <v>181331.15261532404</v>
      </c>
      <c r="U145" s="82">
        <f t="shared" si="40"/>
        <v>2028</v>
      </c>
      <c r="V145" s="414">
        <v>6.25</v>
      </c>
      <c r="W145" s="185"/>
      <c r="X145" s="185"/>
    </row>
    <row r="146" spans="1:24" s="113" customFormat="1" x14ac:dyDescent="0.2">
      <c r="A146" s="73">
        <v>76</v>
      </c>
      <c r="B146" s="74">
        <f t="shared" si="22"/>
        <v>0</v>
      </c>
      <c r="C146" s="75">
        <f t="shared" si="23"/>
        <v>0</v>
      </c>
      <c r="D146" s="75">
        <f t="shared" si="24"/>
        <v>159.28389816204339</v>
      </c>
      <c r="E146" s="54">
        <f t="shared" si="29"/>
        <v>159.28389816204339</v>
      </c>
      <c r="F146" s="76">
        <f t="shared" si="42"/>
        <v>16126.824975607924</v>
      </c>
      <c r="G146" s="77">
        <f t="shared" si="41"/>
        <v>325.0289117714949</v>
      </c>
      <c r="H146" s="79">
        <f t="shared" si="30"/>
        <v>24702.197294633643</v>
      </c>
      <c r="I146" s="78">
        <f t="shared" si="25"/>
        <v>165.74501360945152</v>
      </c>
      <c r="J146" s="76">
        <f t="shared" si="31"/>
        <v>55318.472222222219</v>
      </c>
      <c r="K146" s="80">
        <f t="shared" si="26"/>
        <v>106.18926544136225</v>
      </c>
      <c r="L146" s="78">
        <f t="shared" si="32"/>
        <v>6.8111585332906976</v>
      </c>
      <c r="M146" s="59">
        <f t="shared" si="27"/>
        <v>27443.599179323617</v>
      </c>
      <c r="N146" s="80">
        <f t="shared" si="33"/>
        <v>82762.071401545836</v>
      </c>
      <c r="O146" s="54">
        <f t="shared" si="34"/>
        <v>62031.365874749441</v>
      </c>
      <c r="P146" s="54">
        <f t="shared" si="35"/>
        <v>1961.7965249999997</v>
      </c>
      <c r="Q146" s="54">
        <f t="shared" si="36"/>
        <v>325157.99173509964</v>
      </c>
      <c r="R146" s="54">
        <f t="shared" si="37"/>
        <v>243710.60330954916</v>
      </c>
      <c r="S146" s="54">
        <f t="shared" si="38"/>
        <v>242395.9203335538</v>
      </c>
      <c r="T146" s="81">
        <f t="shared" si="39"/>
        <v>181679.23743479972</v>
      </c>
      <c r="U146" s="82">
        <f t="shared" si="40"/>
        <v>2028</v>
      </c>
      <c r="V146" s="414">
        <v>6.3333333333333304</v>
      </c>
      <c r="W146" s="185"/>
      <c r="X146" s="185"/>
    </row>
    <row r="147" spans="1:24" s="113" customFormat="1" x14ac:dyDescent="0.2">
      <c r="A147" s="73">
        <v>77</v>
      </c>
      <c r="B147" s="74">
        <f t="shared" si="22"/>
        <v>0</v>
      </c>
      <c r="C147" s="75">
        <f t="shared" si="23"/>
        <v>0</v>
      </c>
      <c r="D147" s="75">
        <f t="shared" si="24"/>
        <v>159.28389816204339</v>
      </c>
      <c r="E147" s="54">
        <f t="shared" si="29"/>
        <v>159.28389816204339</v>
      </c>
      <c r="F147" s="76">
        <f t="shared" si="42"/>
        <v>16286.108873769967</v>
      </c>
      <c r="G147" s="77">
        <f t="shared" si="41"/>
        <v>325.0289117714949</v>
      </c>
      <c r="H147" s="79">
        <f t="shared" si="30"/>
        <v>25027.226206405139</v>
      </c>
      <c r="I147" s="78">
        <f t="shared" si="25"/>
        <v>165.74501360945152</v>
      </c>
      <c r="J147" s="76">
        <f t="shared" si="31"/>
        <v>55318.472222222219</v>
      </c>
      <c r="K147" s="80">
        <f t="shared" si="26"/>
        <v>106.18926544136225</v>
      </c>
      <c r="L147" s="78">
        <f t="shared" si="32"/>
        <v>6.8111585332906976</v>
      </c>
      <c r="M147" s="59">
        <f t="shared" si="27"/>
        <v>27443.599179323617</v>
      </c>
      <c r="N147" s="80">
        <f t="shared" si="33"/>
        <v>82762.071401545836</v>
      </c>
      <c r="O147" s="54">
        <f t="shared" si="34"/>
        <v>61850.967220356739</v>
      </c>
      <c r="P147" s="54">
        <f t="shared" si="35"/>
        <v>1968.8434653333329</v>
      </c>
      <c r="Q147" s="54">
        <f t="shared" si="36"/>
        <v>326325.98695655295</v>
      </c>
      <c r="R147" s="54">
        <f t="shared" si="37"/>
        <v>243874.73126999725</v>
      </c>
      <c r="S147" s="54">
        <f t="shared" si="38"/>
        <v>243563.91555500712</v>
      </c>
      <c r="T147" s="81">
        <f t="shared" si="39"/>
        <v>182023.76404964054</v>
      </c>
      <c r="U147" s="82">
        <f t="shared" si="40"/>
        <v>2028</v>
      </c>
      <c r="V147" s="414">
        <v>6.4166666666666599</v>
      </c>
      <c r="W147" s="185"/>
      <c r="X147" s="185"/>
    </row>
    <row r="148" spans="1:24" s="113" customFormat="1" x14ac:dyDescent="0.2">
      <c r="A148" s="73">
        <v>78</v>
      </c>
      <c r="B148" s="74">
        <f t="shared" si="22"/>
        <v>0</v>
      </c>
      <c r="C148" s="75">
        <f t="shared" si="23"/>
        <v>0</v>
      </c>
      <c r="D148" s="75">
        <f t="shared" si="24"/>
        <v>159.28389816204339</v>
      </c>
      <c r="E148" s="54">
        <f t="shared" si="29"/>
        <v>159.28389816204339</v>
      </c>
      <c r="F148" s="76">
        <f t="shared" si="42"/>
        <v>16445.392771932009</v>
      </c>
      <c r="G148" s="77">
        <f t="shared" si="41"/>
        <v>325.0289117714949</v>
      </c>
      <c r="H148" s="79">
        <f t="shared" si="30"/>
        <v>25352.255118176636</v>
      </c>
      <c r="I148" s="78">
        <f t="shared" si="25"/>
        <v>165.74501360945152</v>
      </c>
      <c r="J148" s="76">
        <f t="shared" si="31"/>
        <v>55318.472222222219</v>
      </c>
      <c r="K148" s="80">
        <f t="shared" si="26"/>
        <v>106.18926544136225</v>
      </c>
      <c r="L148" s="78">
        <f t="shared" si="32"/>
        <v>6.8111585332906976</v>
      </c>
      <c r="M148" s="59">
        <f t="shared" si="27"/>
        <v>27443.599179323617</v>
      </c>
      <c r="N148" s="80">
        <f t="shared" si="33"/>
        <v>82762.071401545836</v>
      </c>
      <c r="O148" s="54">
        <f t="shared" si="34"/>
        <v>61671.093198527706</v>
      </c>
      <c r="P148" s="54">
        <f t="shared" si="35"/>
        <v>1975.8904056666663</v>
      </c>
      <c r="Q148" s="54">
        <f t="shared" si="36"/>
        <v>327493.98217800626</v>
      </c>
      <c r="R148" s="54">
        <f t="shared" si="37"/>
        <v>244035.84341026482</v>
      </c>
      <c r="S148" s="54">
        <f t="shared" si="38"/>
        <v>244731.91077646043</v>
      </c>
      <c r="T148" s="81">
        <f t="shared" si="39"/>
        <v>182364.75021173712</v>
      </c>
      <c r="U148" s="82">
        <f t="shared" si="40"/>
        <v>2028</v>
      </c>
      <c r="V148" s="414">
        <v>6.5</v>
      </c>
      <c r="W148" s="185"/>
      <c r="X148" s="185"/>
    </row>
    <row r="149" spans="1:24" s="113" customFormat="1" x14ac:dyDescent="0.2">
      <c r="A149" s="73">
        <v>79</v>
      </c>
      <c r="B149" s="74">
        <f t="shared" si="22"/>
        <v>0</v>
      </c>
      <c r="C149" s="75">
        <f t="shared" si="23"/>
        <v>0</v>
      </c>
      <c r="D149" s="75">
        <f t="shared" si="24"/>
        <v>159.28389816204339</v>
      </c>
      <c r="E149" s="54">
        <f t="shared" si="29"/>
        <v>159.28389816204339</v>
      </c>
      <c r="F149" s="76">
        <f t="shared" si="42"/>
        <v>16604.676670094053</v>
      </c>
      <c r="G149" s="77">
        <f t="shared" si="41"/>
        <v>325.0289117714949</v>
      </c>
      <c r="H149" s="79">
        <f t="shared" si="30"/>
        <v>25677.284029948132</v>
      </c>
      <c r="I149" s="78">
        <f t="shared" si="25"/>
        <v>165.74501360945152</v>
      </c>
      <c r="J149" s="76">
        <f t="shared" si="31"/>
        <v>55318.472222222219</v>
      </c>
      <c r="K149" s="80">
        <f t="shared" si="26"/>
        <v>106.18926544136225</v>
      </c>
      <c r="L149" s="78">
        <f t="shared" si="32"/>
        <v>6.8111585332906976</v>
      </c>
      <c r="M149" s="59">
        <f t="shared" si="27"/>
        <v>27443.599179323617</v>
      </c>
      <c r="N149" s="80">
        <f t="shared" si="33"/>
        <v>82762.071401545836</v>
      </c>
      <c r="O149" s="54">
        <f t="shared" si="34"/>
        <v>61491.742283534062</v>
      </c>
      <c r="P149" s="54">
        <f t="shared" si="35"/>
        <v>1982.9373459999997</v>
      </c>
      <c r="Q149" s="54">
        <f t="shared" si="36"/>
        <v>328661.97739945963</v>
      </c>
      <c r="R149" s="54">
        <f t="shared" si="37"/>
        <v>244193.95588335631</v>
      </c>
      <c r="S149" s="54">
        <f t="shared" si="38"/>
        <v>245899.9059979138</v>
      </c>
      <c r="T149" s="81">
        <f t="shared" si="39"/>
        <v>182702.21359982225</v>
      </c>
      <c r="U149" s="82">
        <f t="shared" si="40"/>
        <v>2028</v>
      </c>
      <c r="V149" s="414">
        <v>6.5833333333333304</v>
      </c>
      <c r="W149" s="185"/>
      <c r="X149" s="185"/>
    </row>
    <row r="150" spans="1:24" s="113" customFormat="1" x14ac:dyDescent="0.2">
      <c r="A150" s="73">
        <v>80</v>
      </c>
      <c r="B150" s="74">
        <f t="shared" si="22"/>
        <v>0</v>
      </c>
      <c r="C150" s="75">
        <f t="shared" si="23"/>
        <v>0</v>
      </c>
      <c r="D150" s="75">
        <f t="shared" si="24"/>
        <v>159.28389816204339</v>
      </c>
      <c r="E150" s="54">
        <f t="shared" si="29"/>
        <v>159.28389816204339</v>
      </c>
      <c r="F150" s="76">
        <f t="shared" si="42"/>
        <v>16763.960568256098</v>
      </c>
      <c r="G150" s="77">
        <f t="shared" si="41"/>
        <v>325.0289117714949</v>
      </c>
      <c r="H150" s="79">
        <f t="shared" si="30"/>
        <v>26002.312941719629</v>
      </c>
      <c r="I150" s="78">
        <f t="shared" si="25"/>
        <v>165.74501360945152</v>
      </c>
      <c r="J150" s="76">
        <f t="shared" si="31"/>
        <v>55318.472222222219</v>
      </c>
      <c r="K150" s="80">
        <f t="shared" si="26"/>
        <v>106.18926544136225</v>
      </c>
      <c r="L150" s="78">
        <f t="shared" si="32"/>
        <v>6.8111585332906976</v>
      </c>
      <c r="M150" s="59">
        <f t="shared" si="27"/>
        <v>27443.599179323617</v>
      </c>
      <c r="N150" s="80">
        <f t="shared" si="33"/>
        <v>82762.071401545836</v>
      </c>
      <c r="O150" s="54">
        <f t="shared" si="34"/>
        <v>61312.912954084633</v>
      </c>
      <c r="P150" s="54">
        <f t="shared" si="35"/>
        <v>1989.9842863333331</v>
      </c>
      <c r="Q150" s="54">
        <f t="shared" si="36"/>
        <v>329829.97262091294</v>
      </c>
      <c r="R150" s="54">
        <f t="shared" si="37"/>
        <v>244349.08477383072</v>
      </c>
      <c r="S150" s="54">
        <f t="shared" si="38"/>
        <v>247067.90121936711</v>
      </c>
      <c r="T150" s="81">
        <f t="shared" si="39"/>
        <v>183036.17181974609</v>
      </c>
      <c r="U150" s="82">
        <f t="shared" si="40"/>
        <v>2028</v>
      </c>
      <c r="V150" s="414">
        <v>6.6666666666666599</v>
      </c>
      <c r="W150" s="185"/>
      <c r="X150" s="185"/>
    </row>
    <row r="151" spans="1:24" s="113" customFormat="1" x14ac:dyDescent="0.2">
      <c r="A151" s="73">
        <v>81</v>
      </c>
      <c r="B151" s="74">
        <f t="shared" si="22"/>
        <v>0</v>
      </c>
      <c r="C151" s="75">
        <f t="shared" si="23"/>
        <v>0</v>
      </c>
      <c r="D151" s="75">
        <f t="shared" si="24"/>
        <v>159.28389816204339</v>
      </c>
      <c r="E151" s="54">
        <f t="shared" si="29"/>
        <v>159.28389816204339</v>
      </c>
      <c r="F151" s="76">
        <f t="shared" si="42"/>
        <v>16923.244466418142</v>
      </c>
      <c r="G151" s="77">
        <f t="shared" si="41"/>
        <v>325.0289117714949</v>
      </c>
      <c r="H151" s="79">
        <f t="shared" si="30"/>
        <v>26327.341853491125</v>
      </c>
      <c r="I151" s="78">
        <f t="shared" si="25"/>
        <v>165.74501360945152</v>
      </c>
      <c r="J151" s="76">
        <f t="shared" si="31"/>
        <v>55318.472222222219</v>
      </c>
      <c r="K151" s="80">
        <f t="shared" si="26"/>
        <v>106.18926544136225</v>
      </c>
      <c r="L151" s="78">
        <f t="shared" si="32"/>
        <v>6.8111585332906976</v>
      </c>
      <c r="M151" s="59">
        <f t="shared" si="27"/>
        <v>27443.599179323617</v>
      </c>
      <c r="N151" s="80">
        <f t="shared" si="33"/>
        <v>82762.071401545836</v>
      </c>
      <c r="O151" s="54">
        <f t="shared" si="34"/>
        <v>61134.603693312485</v>
      </c>
      <c r="P151" s="54">
        <f t="shared" si="35"/>
        <v>1997.0312266666665</v>
      </c>
      <c r="Q151" s="54">
        <f t="shared" si="36"/>
        <v>330997.96784236631</v>
      </c>
      <c r="R151" s="54">
        <f t="shared" si="37"/>
        <v>244501.24609806342</v>
      </c>
      <c r="S151" s="54">
        <f t="shared" si="38"/>
        <v>248235.89644082048</v>
      </c>
      <c r="T151" s="81">
        <f t="shared" si="39"/>
        <v>183366.64240475095</v>
      </c>
      <c r="U151" s="82">
        <f t="shared" si="40"/>
        <v>2028</v>
      </c>
      <c r="V151" s="414">
        <v>6.75</v>
      </c>
      <c r="W151" s="185"/>
      <c r="X151" s="185"/>
    </row>
    <row r="152" spans="1:24" s="113" customFormat="1" x14ac:dyDescent="0.2">
      <c r="A152" s="73">
        <v>82</v>
      </c>
      <c r="B152" s="74">
        <f t="shared" si="22"/>
        <v>0</v>
      </c>
      <c r="C152" s="75">
        <f t="shared" si="23"/>
        <v>0</v>
      </c>
      <c r="D152" s="75">
        <f t="shared" si="24"/>
        <v>159.28389816204339</v>
      </c>
      <c r="E152" s="54">
        <f t="shared" si="29"/>
        <v>159.28389816204339</v>
      </c>
      <c r="F152" s="76">
        <f t="shared" si="42"/>
        <v>17082.528364580186</v>
      </c>
      <c r="G152" s="77">
        <f t="shared" si="41"/>
        <v>325.0289117714949</v>
      </c>
      <c r="H152" s="79">
        <f t="shared" si="30"/>
        <v>26652.370765262622</v>
      </c>
      <c r="I152" s="78">
        <f t="shared" si="25"/>
        <v>165.74501360945152</v>
      </c>
      <c r="J152" s="76">
        <f t="shared" si="31"/>
        <v>55318.472222222219</v>
      </c>
      <c r="K152" s="80">
        <f t="shared" si="26"/>
        <v>106.18926544136225</v>
      </c>
      <c r="L152" s="78">
        <f t="shared" si="32"/>
        <v>6.8111585332906976</v>
      </c>
      <c r="M152" s="59">
        <f t="shared" si="27"/>
        <v>27443.599179323617</v>
      </c>
      <c r="N152" s="80">
        <f t="shared" si="33"/>
        <v>82762.071401545836</v>
      </c>
      <c r="O152" s="54">
        <f t="shared" si="34"/>
        <v>60956.812988761929</v>
      </c>
      <c r="P152" s="54">
        <f t="shared" si="35"/>
        <v>2004.0781669999997</v>
      </c>
      <c r="Q152" s="54">
        <f t="shared" si="36"/>
        <v>332165.96306381962</v>
      </c>
      <c r="R152" s="54">
        <f t="shared" si="37"/>
        <v>244650.45580450594</v>
      </c>
      <c r="S152" s="54">
        <f t="shared" si="38"/>
        <v>249403.89166227379</v>
      </c>
      <c r="T152" s="81">
        <f t="shared" si="39"/>
        <v>183693.64281574401</v>
      </c>
      <c r="U152" s="82">
        <f t="shared" si="40"/>
        <v>2028</v>
      </c>
      <c r="V152" s="414">
        <v>6.8333333333333304</v>
      </c>
      <c r="W152" s="185"/>
      <c r="X152" s="185"/>
    </row>
    <row r="153" spans="1:24" s="113" customFormat="1" x14ac:dyDescent="0.2">
      <c r="A153" s="73">
        <v>83</v>
      </c>
      <c r="B153" s="74">
        <f t="shared" si="22"/>
        <v>0</v>
      </c>
      <c r="C153" s="75">
        <f t="shared" si="23"/>
        <v>0</v>
      </c>
      <c r="D153" s="75">
        <f t="shared" si="24"/>
        <v>159.28389816204339</v>
      </c>
      <c r="E153" s="54">
        <f t="shared" si="29"/>
        <v>159.28389816204339</v>
      </c>
      <c r="F153" s="76">
        <f t="shared" si="42"/>
        <v>17241.812262742231</v>
      </c>
      <c r="G153" s="77">
        <f t="shared" si="41"/>
        <v>325.0289117714949</v>
      </c>
      <c r="H153" s="79">
        <f t="shared" si="30"/>
        <v>26977.399677034118</v>
      </c>
      <c r="I153" s="78">
        <f t="shared" si="25"/>
        <v>165.74501360945152</v>
      </c>
      <c r="J153" s="76">
        <f t="shared" si="31"/>
        <v>55318.472222222219</v>
      </c>
      <c r="K153" s="80">
        <f t="shared" si="26"/>
        <v>106.18926544136225</v>
      </c>
      <c r="L153" s="78">
        <f t="shared" si="32"/>
        <v>6.8111585332906976</v>
      </c>
      <c r="M153" s="59">
        <f t="shared" si="27"/>
        <v>27443.599179323617</v>
      </c>
      <c r="N153" s="80">
        <f t="shared" si="33"/>
        <v>82762.071401545836</v>
      </c>
      <c r="O153" s="54">
        <f t="shared" si="34"/>
        <v>60779.539332375833</v>
      </c>
      <c r="P153" s="54">
        <f t="shared" si="35"/>
        <v>2011.1251073333331</v>
      </c>
      <c r="Q153" s="54">
        <f t="shared" si="36"/>
        <v>333333.95828527294</v>
      </c>
      <c r="R153" s="54">
        <f t="shared" si="37"/>
        <v>244796.72977394637</v>
      </c>
      <c r="S153" s="54">
        <f t="shared" si="38"/>
        <v>250571.8868837271</v>
      </c>
      <c r="T153" s="81">
        <f t="shared" si="39"/>
        <v>184017.19044157054</v>
      </c>
      <c r="U153" s="82">
        <f t="shared" si="40"/>
        <v>2028</v>
      </c>
      <c r="V153" s="414">
        <v>6.9166666666666599</v>
      </c>
      <c r="W153" s="185"/>
      <c r="X153" s="185"/>
    </row>
    <row r="154" spans="1:24" s="113" customFormat="1" x14ac:dyDescent="0.2">
      <c r="A154" s="73">
        <v>84</v>
      </c>
      <c r="B154" s="74">
        <f t="shared" si="22"/>
        <v>0</v>
      </c>
      <c r="C154" s="75">
        <f t="shared" si="23"/>
        <v>0</v>
      </c>
      <c r="D154" s="75">
        <f t="shared" si="24"/>
        <v>159.28389816204339</v>
      </c>
      <c r="E154" s="54">
        <f t="shared" si="29"/>
        <v>159.28389816204339</v>
      </c>
      <c r="F154" s="76">
        <f t="shared" si="42"/>
        <v>17401.096160904275</v>
      </c>
      <c r="G154" s="77">
        <f t="shared" si="41"/>
        <v>325.0289117714949</v>
      </c>
      <c r="H154" s="79">
        <f t="shared" si="30"/>
        <v>27302.428588805615</v>
      </c>
      <c r="I154" s="78">
        <f t="shared" si="25"/>
        <v>165.74501360945152</v>
      </c>
      <c r="J154" s="76">
        <f t="shared" si="31"/>
        <v>55318.472222222219</v>
      </c>
      <c r="K154" s="80">
        <f t="shared" si="26"/>
        <v>106.18926544136225</v>
      </c>
      <c r="L154" s="78">
        <f t="shared" si="32"/>
        <v>6.8111585332906976</v>
      </c>
      <c r="M154" s="59">
        <f t="shared" si="27"/>
        <v>27443.599179323617</v>
      </c>
      <c r="N154" s="80">
        <f t="shared" si="33"/>
        <v>82762.071401545836</v>
      </c>
      <c r="O154" s="54">
        <f t="shared" si="34"/>
        <v>60602.78122048275</v>
      </c>
      <c r="P154" s="54">
        <f t="shared" si="35"/>
        <v>2018.1720476666665</v>
      </c>
      <c r="Q154" s="54">
        <f t="shared" si="36"/>
        <v>334501.95350672625</v>
      </c>
      <c r="R154" s="54">
        <f t="shared" si="37"/>
        <v>244940.08381976755</v>
      </c>
      <c r="S154" s="54">
        <f t="shared" si="38"/>
        <v>251739.88210518041</v>
      </c>
      <c r="T154" s="81">
        <f t="shared" si="39"/>
        <v>184337.3025992848</v>
      </c>
      <c r="U154" s="82">
        <f t="shared" si="40"/>
        <v>2028</v>
      </c>
      <c r="V154" s="414">
        <v>7</v>
      </c>
      <c r="W154" s="185"/>
      <c r="X154" s="185"/>
    </row>
    <row r="155" spans="1:24" s="113" customFormat="1" x14ac:dyDescent="0.2">
      <c r="A155" s="73">
        <v>85</v>
      </c>
      <c r="B155" s="74">
        <f t="shared" si="22"/>
        <v>0</v>
      </c>
      <c r="C155" s="75">
        <f t="shared" si="23"/>
        <v>0</v>
      </c>
      <c r="D155" s="75">
        <f t="shared" si="24"/>
        <v>159.28389816204339</v>
      </c>
      <c r="E155" s="54">
        <f t="shared" si="29"/>
        <v>159.28389816204339</v>
      </c>
      <c r="F155" s="76">
        <f t="shared" si="42"/>
        <v>17560.38005906632</v>
      </c>
      <c r="G155" s="77">
        <f t="shared" si="41"/>
        <v>325.0289117714949</v>
      </c>
      <c r="H155" s="79">
        <f t="shared" si="30"/>
        <v>27627.457500577111</v>
      </c>
      <c r="I155" s="78">
        <f t="shared" si="25"/>
        <v>165.74501360945152</v>
      </c>
      <c r="J155" s="76">
        <f t="shared" si="31"/>
        <v>55318.472222222219</v>
      </c>
      <c r="K155" s="80">
        <f t="shared" si="26"/>
        <v>106.18926544136225</v>
      </c>
      <c r="L155" s="78">
        <f t="shared" si="32"/>
        <v>6.8111585332906976</v>
      </c>
      <c r="M155" s="59">
        <f t="shared" si="27"/>
        <v>27443.599179323617</v>
      </c>
      <c r="N155" s="80">
        <f t="shared" si="33"/>
        <v>82762.071401545836</v>
      </c>
      <c r="O155" s="54">
        <f t="shared" si="34"/>
        <v>60426.537153784222</v>
      </c>
      <c r="P155" s="54">
        <f t="shared" si="35"/>
        <v>2025.2189879999994</v>
      </c>
      <c r="Q155" s="54">
        <f t="shared" si="36"/>
        <v>335669.94872817956</v>
      </c>
      <c r="R155" s="54">
        <f t="shared" si="37"/>
        <v>245080.53368820506</v>
      </c>
      <c r="S155" s="54">
        <f t="shared" si="38"/>
        <v>252907.87732663372</v>
      </c>
      <c r="T155" s="81">
        <f t="shared" si="39"/>
        <v>184653.99653442085</v>
      </c>
      <c r="U155" s="376">
        <f t="shared" si="40"/>
        <v>2029</v>
      </c>
      <c r="V155" s="414">
        <v>7.0833333333333304</v>
      </c>
      <c r="W155" s="185"/>
      <c r="X155" s="185"/>
    </row>
    <row r="156" spans="1:24" s="113" customFormat="1" x14ac:dyDescent="0.2">
      <c r="A156" s="73">
        <v>86</v>
      </c>
      <c r="B156" s="74">
        <f t="shared" si="22"/>
        <v>0</v>
      </c>
      <c r="C156" s="75">
        <f t="shared" si="23"/>
        <v>0</v>
      </c>
      <c r="D156" s="75">
        <f t="shared" si="24"/>
        <v>159.28389816204339</v>
      </c>
      <c r="E156" s="54">
        <f t="shared" si="29"/>
        <v>159.28389816204339</v>
      </c>
      <c r="F156" s="76">
        <f t="shared" si="42"/>
        <v>17719.663957228364</v>
      </c>
      <c r="G156" s="77">
        <f t="shared" si="41"/>
        <v>325.0289117714949</v>
      </c>
      <c r="H156" s="79">
        <f t="shared" si="30"/>
        <v>27952.486412348608</v>
      </c>
      <c r="I156" s="78">
        <f t="shared" si="25"/>
        <v>165.74501360945152</v>
      </c>
      <c r="J156" s="76">
        <f t="shared" si="31"/>
        <v>55318.472222222219</v>
      </c>
      <c r="K156" s="80">
        <f t="shared" si="26"/>
        <v>106.18926544136225</v>
      </c>
      <c r="L156" s="78">
        <f t="shared" si="32"/>
        <v>6.8111585332906976</v>
      </c>
      <c r="M156" s="59">
        <f t="shared" si="27"/>
        <v>27443.599179323617</v>
      </c>
      <c r="N156" s="80">
        <f t="shared" si="33"/>
        <v>82762.071401545836</v>
      </c>
      <c r="O156" s="54">
        <f t="shared" si="34"/>
        <v>60250.805637341975</v>
      </c>
      <c r="P156" s="54">
        <f t="shared" si="35"/>
        <v>2032.2659283333332</v>
      </c>
      <c r="Q156" s="54">
        <f t="shared" si="36"/>
        <v>336837.94394963293</v>
      </c>
      <c r="R156" s="54">
        <f t="shared" si="37"/>
        <v>245218.09505860382</v>
      </c>
      <c r="S156" s="54">
        <f t="shared" si="38"/>
        <v>254075.87254808709</v>
      </c>
      <c r="T156" s="81">
        <f t="shared" si="39"/>
        <v>184967.28942126184</v>
      </c>
      <c r="U156" s="82">
        <f t="shared" si="40"/>
        <v>2029</v>
      </c>
      <c r="V156" s="414">
        <v>7.1666666666666599</v>
      </c>
      <c r="W156" s="185"/>
      <c r="X156" s="185"/>
    </row>
    <row r="157" spans="1:24" s="113" customFormat="1" x14ac:dyDescent="0.2">
      <c r="A157" s="73">
        <v>87</v>
      </c>
      <c r="B157" s="74">
        <f t="shared" si="22"/>
        <v>0</v>
      </c>
      <c r="C157" s="75">
        <f t="shared" si="23"/>
        <v>0</v>
      </c>
      <c r="D157" s="75">
        <f t="shared" si="24"/>
        <v>159.28389816204339</v>
      </c>
      <c r="E157" s="54">
        <f t="shared" si="29"/>
        <v>159.28389816204339</v>
      </c>
      <c r="F157" s="76">
        <f t="shared" si="42"/>
        <v>17878.947855390408</v>
      </c>
      <c r="G157" s="77">
        <f t="shared" si="41"/>
        <v>325.0289117714949</v>
      </c>
      <c r="H157" s="79">
        <f t="shared" si="30"/>
        <v>28277.515324120104</v>
      </c>
      <c r="I157" s="78">
        <f t="shared" si="25"/>
        <v>165.74501360945152</v>
      </c>
      <c r="J157" s="76">
        <f t="shared" si="31"/>
        <v>55318.472222222219</v>
      </c>
      <c r="K157" s="80">
        <f t="shared" si="26"/>
        <v>106.18926544136225</v>
      </c>
      <c r="L157" s="78">
        <f t="shared" si="32"/>
        <v>6.8111585332906976</v>
      </c>
      <c r="M157" s="59">
        <f t="shared" si="27"/>
        <v>27443.599179323617</v>
      </c>
      <c r="N157" s="80">
        <f t="shared" si="33"/>
        <v>82762.071401545836</v>
      </c>
      <c r="O157" s="54">
        <f t="shared" si="34"/>
        <v>60075.585180565322</v>
      </c>
      <c r="P157" s="54">
        <f t="shared" si="35"/>
        <v>2039.3128686666662</v>
      </c>
      <c r="Q157" s="54">
        <f t="shared" si="36"/>
        <v>338005.93917108618</v>
      </c>
      <c r="R157" s="54">
        <f t="shared" si="37"/>
        <v>245352.78354367401</v>
      </c>
      <c r="S157" s="54">
        <f t="shared" si="38"/>
        <v>255243.86776954035</v>
      </c>
      <c r="T157" s="81">
        <f t="shared" si="39"/>
        <v>185277.19836310871</v>
      </c>
      <c r="U157" s="82">
        <f t="shared" si="40"/>
        <v>2029</v>
      </c>
      <c r="V157" s="414">
        <v>7.25</v>
      </c>
      <c r="W157" s="185"/>
      <c r="X157" s="185"/>
    </row>
    <row r="158" spans="1:24" s="113" customFormat="1" x14ac:dyDescent="0.2">
      <c r="A158" s="73">
        <v>88</v>
      </c>
      <c r="B158" s="74">
        <f t="shared" si="22"/>
        <v>0</v>
      </c>
      <c r="C158" s="75">
        <f t="shared" si="23"/>
        <v>0</v>
      </c>
      <c r="D158" s="75">
        <f t="shared" si="24"/>
        <v>159.28389816204339</v>
      </c>
      <c r="E158" s="54">
        <f t="shared" si="29"/>
        <v>159.28389816204339</v>
      </c>
      <c r="F158" s="76">
        <f t="shared" si="42"/>
        <v>18038.231753552453</v>
      </c>
      <c r="G158" s="77">
        <f t="shared" si="41"/>
        <v>325.0289117714949</v>
      </c>
      <c r="H158" s="79">
        <f t="shared" si="30"/>
        <v>28602.544235891601</v>
      </c>
      <c r="I158" s="78">
        <f t="shared" si="25"/>
        <v>165.74501360945152</v>
      </c>
      <c r="J158" s="76">
        <f t="shared" si="31"/>
        <v>55318.472222222219</v>
      </c>
      <c r="K158" s="80">
        <f t="shared" si="26"/>
        <v>106.18926544136225</v>
      </c>
      <c r="L158" s="78">
        <f t="shared" si="32"/>
        <v>6.8111585332906976</v>
      </c>
      <c r="M158" s="59">
        <f t="shared" si="27"/>
        <v>27443.599179323617</v>
      </c>
      <c r="N158" s="80">
        <f t="shared" si="33"/>
        <v>82762.071401545836</v>
      </c>
      <c r="O158" s="54">
        <f t="shared" si="34"/>
        <v>59900.874297198483</v>
      </c>
      <c r="P158" s="54">
        <f t="shared" si="35"/>
        <v>2046.3598089999998</v>
      </c>
      <c r="Q158" s="54">
        <f t="shared" si="36"/>
        <v>339173.93439253955</v>
      </c>
      <c r="R158" s="54">
        <f t="shared" si="37"/>
        <v>245484.61468974638</v>
      </c>
      <c r="S158" s="54">
        <f t="shared" si="38"/>
        <v>256411.86299099372</v>
      </c>
      <c r="T158" s="81">
        <f t="shared" si="39"/>
        <v>185583.74039254789</v>
      </c>
      <c r="U158" s="82">
        <f t="shared" si="40"/>
        <v>2029</v>
      </c>
      <c r="V158" s="414">
        <v>7.3333333333333304</v>
      </c>
      <c r="W158" s="185"/>
      <c r="X158" s="185"/>
    </row>
    <row r="159" spans="1:24" s="113" customFormat="1" x14ac:dyDescent="0.2">
      <c r="A159" s="73">
        <v>89</v>
      </c>
      <c r="B159" s="74">
        <f t="shared" si="22"/>
        <v>0</v>
      </c>
      <c r="C159" s="75">
        <f t="shared" si="23"/>
        <v>0</v>
      </c>
      <c r="D159" s="75">
        <f t="shared" si="24"/>
        <v>159.28389816204339</v>
      </c>
      <c r="E159" s="54">
        <f t="shared" si="29"/>
        <v>159.28389816204339</v>
      </c>
      <c r="F159" s="76">
        <f t="shared" si="42"/>
        <v>18197.515651714497</v>
      </c>
      <c r="G159" s="77">
        <f t="shared" si="41"/>
        <v>325.0289117714949</v>
      </c>
      <c r="H159" s="79">
        <f t="shared" si="30"/>
        <v>28927.573147663097</v>
      </c>
      <c r="I159" s="78">
        <f t="shared" si="25"/>
        <v>165.74501360945152</v>
      </c>
      <c r="J159" s="76">
        <f t="shared" si="31"/>
        <v>55318.472222222219</v>
      </c>
      <c r="K159" s="80">
        <f t="shared" si="26"/>
        <v>106.18926544136225</v>
      </c>
      <c r="L159" s="78">
        <f t="shared" si="32"/>
        <v>6.8111585332906976</v>
      </c>
      <c r="M159" s="59">
        <f t="shared" si="27"/>
        <v>27443.599179323617</v>
      </c>
      <c r="N159" s="80">
        <f t="shared" si="33"/>
        <v>82762.071401545836</v>
      </c>
      <c r="O159" s="54">
        <f t="shared" si="34"/>
        <v>59726.671505308019</v>
      </c>
      <c r="P159" s="54">
        <f t="shared" si="35"/>
        <v>2053.4067493333328</v>
      </c>
      <c r="Q159" s="54">
        <f t="shared" si="36"/>
        <v>340341.92961399286</v>
      </c>
      <c r="R159" s="54">
        <f t="shared" si="37"/>
        <v>245613.60397702584</v>
      </c>
      <c r="S159" s="54">
        <f t="shared" si="38"/>
        <v>257579.85821244703</v>
      </c>
      <c r="T159" s="81">
        <f t="shared" si="39"/>
        <v>185886.93247171782</v>
      </c>
      <c r="U159" s="82">
        <f t="shared" si="40"/>
        <v>2029</v>
      </c>
      <c r="V159" s="414">
        <v>7.4166666666666599</v>
      </c>
      <c r="W159" s="185"/>
      <c r="X159" s="185"/>
    </row>
    <row r="160" spans="1:24" s="113" customFormat="1" x14ac:dyDescent="0.2">
      <c r="A160" s="73">
        <v>90</v>
      </c>
      <c r="B160" s="74">
        <f t="shared" si="22"/>
        <v>0</v>
      </c>
      <c r="C160" s="75">
        <f t="shared" si="23"/>
        <v>0</v>
      </c>
      <c r="D160" s="75">
        <f t="shared" si="24"/>
        <v>159.28389816204339</v>
      </c>
      <c r="E160" s="54">
        <f t="shared" si="29"/>
        <v>159.28389816204339</v>
      </c>
      <c r="F160" s="76">
        <f t="shared" si="42"/>
        <v>18356.799549876541</v>
      </c>
      <c r="G160" s="77">
        <f t="shared" si="41"/>
        <v>325.0289117714949</v>
      </c>
      <c r="H160" s="79">
        <f t="shared" si="30"/>
        <v>29252.602059434594</v>
      </c>
      <c r="I160" s="78">
        <f t="shared" si="25"/>
        <v>165.74501360945152</v>
      </c>
      <c r="J160" s="76">
        <f t="shared" si="31"/>
        <v>55318.472222222219</v>
      </c>
      <c r="K160" s="80">
        <f t="shared" si="26"/>
        <v>106.18926544136225</v>
      </c>
      <c r="L160" s="78">
        <f t="shared" si="32"/>
        <v>6.8111585332906976</v>
      </c>
      <c r="M160" s="59">
        <f t="shared" si="27"/>
        <v>27443.599179323617</v>
      </c>
      <c r="N160" s="80">
        <f t="shared" si="33"/>
        <v>82762.071401545836</v>
      </c>
      <c r="O160" s="54">
        <f t="shared" si="34"/>
        <v>59552.975327270156</v>
      </c>
      <c r="P160" s="54">
        <f t="shared" si="35"/>
        <v>2060.4536896666664</v>
      </c>
      <c r="Q160" s="54">
        <f t="shared" si="36"/>
        <v>341509.92483544623</v>
      </c>
      <c r="R160" s="54">
        <f t="shared" si="37"/>
        <v>245739.76681984475</v>
      </c>
      <c r="S160" s="54">
        <f t="shared" si="38"/>
        <v>258747.8534339004</v>
      </c>
      <c r="T160" s="81">
        <f t="shared" si="39"/>
        <v>186186.79149257459</v>
      </c>
      <c r="U160" s="82">
        <f t="shared" si="40"/>
        <v>2029</v>
      </c>
      <c r="V160" s="414">
        <v>7.5</v>
      </c>
      <c r="W160" s="185"/>
      <c r="X160" s="185"/>
    </row>
    <row r="161" spans="1:24" s="113" customFormat="1" x14ac:dyDescent="0.2">
      <c r="A161" s="73">
        <v>91</v>
      </c>
      <c r="B161" s="74">
        <f t="shared" si="22"/>
        <v>0</v>
      </c>
      <c r="C161" s="75">
        <f t="shared" si="23"/>
        <v>0</v>
      </c>
      <c r="D161" s="75">
        <f t="shared" si="24"/>
        <v>159.28389816204339</v>
      </c>
      <c r="E161" s="54">
        <f t="shared" si="29"/>
        <v>159.28389816204339</v>
      </c>
      <c r="F161" s="76">
        <f t="shared" si="42"/>
        <v>18516.083448038586</v>
      </c>
      <c r="G161" s="77">
        <f t="shared" si="41"/>
        <v>325.0289117714949</v>
      </c>
      <c r="H161" s="79">
        <f t="shared" si="30"/>
        <v>29577.63097120609</v>
      </c>
      <c r="I161" s="78">
        <f t="shared" si="25"/>
        <v>165.74501360945152</v>
      </c>
      <c r="J161" s="76">
        <f t="shared" si="31"/>
        <v>55318.472222222219</v>
      </c>
      <c r="K161" s="80">
        <f t="shared" si="26"/>
        <v>106.18926544136225</v>
      </c>
      <c r="L161" s="78">
        <f t="shared" si="32"/>
        <v>6.8111585332906976</v>
      </c>
      <c r="M161" s="59">
        <f t="shared" si="27"/>
        <v>27443.599179323617</v>
      </c>
      <c r="N161" s="80">
        <f t="shared" si="33"/>
        <v>82762.071401545836</v>
      </c>
      <c r="O161" s="54">
        <f t="shared" si="34"/>
        <v>59379.784289758361</v>
      </c>
      <c r="P161" s="54">
        <f t="shared" si="35"/>
        <v>2067.5006299999995</v>
      </c>
      <c r="Q161" s="54">
        <f t="shared" si="36"/>
        <v>342677.92005689949</v>
      </c>
      <c r="R161" s="54">
        <f t="shared" si="37"/>
        <v>245863.11856691504</v>
      </c>
      <c r="S161" s="54">
        <f t="shared" si="38"/>
        <v>259915.84865535365</v>
      </c>
      <c r="T161" s="81">
        <f t="shared" si="39"/>
        <v>186483.33427715668</v>
      </c>
      <c r="U161" s="82">
        <f t="shared" si="40"/>
        <v>2029</v>
      </c>
      <c r="V161" s="414">
        <v>7.5833333333333304</v>
      </c>
      <c r="W161" s="185"/>
      <c r="X161" s="185"/>
    </row>
    <row r="162" spans="1:24" s="113" customFormat="1" x14ac:dyDescent="0.2">
      <c r="A162" s="73">
        <v>92</v>
      </c>
      <c r="B162" s="74">
        <f t="shared" si="22"/>
        <v>0</v>
      </c>
      <c r="C162" s="75">
        <f t="shared" si="23"/>
        <v>0</v>
      </c>
      <c r="D162" s="75">
        <f t="shared" si="24"/>
        <v>159.28389816204339</v>
      </c>
      <c r="E162" s="54">
        <f t="shared" si="29"/>
        <v>159.28389816204339</v>
      </c>
      <c r="F162" s="76">
        <f t="shared" si="42"/>
        <v>18675.36734620063</v>
      </c>
      <c r="G162" s="77">
        <f t="shared" si="41"/>
        <v>325.0289117714949</v>
      </c>
      <c r="H162" s="79">
        <f t="shared" si="30"/>
        <v>29902.659882977587</v>
      </c>
      <c r="I162" s="78">
        <f t="shared" si="25"/>
        <v>165.74501360945152</v>
      </c>
      <c r="J162" s="76">
        <f t="shared" si="31"/>
        <v>55318.472222222219</v>
      </c>
      <c r="K162" s="80">
        <f t="shared" si="26"/>
        <v>106.18926544136225</v>
      </c>
      <c r="L162" s="78">
        <f t="shared" si="32"/>
        <v>6.8111585332906976</v>
      </c>
      <c r="M162" s="59">
        <f t="shared" si="27"/>
        <v>27443.599179323617</v>
      </c>
      <c r="N162" s="80">
        <f t="shared" si="33"/>
        <v>82762.071401545836</v>
      </c>
      <c r="O162" s="54">
        <f t="shared" si="34"/>
        <v>59207.096923730795</v>
      </c>
      <c r="P162" s="54">
        <f t="shared" si="35"/>
        <v>2074.5475703333332</v>
      </c>
      <c r="Q162" s="54">
        <f t="shared" si="36"/>
        <v>343845.91527835291</v>
      </c>
      <c r="R162" s="54">
        <f t="shared" si="37"/>
        <v>245983.67450157995</v>
      </c>
      <c r="S162" s="54">
        <f t="shared" si="38"/>
        <v>261083.84387680708</v>
      </c>
      <c r="T162" s="81">
        <f t="shared" si="39"/>
        <v>186776.57757784915</v>
      </c>
      <c r="U162" s="82">
        <f t="shared" si="40"/>
        <v>2029</v>
      </c>
      <c r="V162" s="414">
        <v>7.6666666666666599</v>
      </c>
      <c r="W162" s="185"/>
      <c r="X162" s="185"/>
    </row>
    <row r="163" spans="1:24" s="113" customFormat="1" x14ac:dyDescent="0.2">
      <c r="A163" s="73">
        <v>93</v>
      </c>
      <c r="B163" s="74">
        <f t="shared" si="22"/>
        <v>0</v>
      </c>
      <c r="C163" s="75">
        <f t="shared" si="23"/>
        <v>0</v>
      </c>
      <c r="D163" s="75">
        <f t="shared" si="24"/>
        <v>159.28389816204339</v>
      </c>
      <c r="E163" s="54">
        <f t="shared" si="29"/>
        <v>159.28389816204339</v>
      </c>
      <c r="F163" s="76">
        <f t="shared" si="42"/>
        <v>18834.651244362674</v>
      </c>
      <c r="G163" s="77">
        <f t="shared" si="41"/>
        <v>325.0289117714949</v>
      </c>
      <c r="H163" s="79">
        <f t="shared" si="30"/>
        <v>30227.688794749083</v>
      </c>
      <c r="I163" s="78">
        <f t="shared" si="25"/>
        <v>165.74501360945152</v>
      </c>
      <c r="J163" s="76">
        <f t="shared" si="31"/>
        <v>55318.472222222219</v>
      </c>
      <c r="K163" s="80">
        <f t="shared" si="26"/>
        <v>106.18926544136225</v>
      </c>
      <c r="L163" s="78">
        <f t="shared" si="32"/>
        <v>6.8111585332906976</v>
      </c>
      <c r="M163" s="59">
        <f t="shared" si="27"/>
        <v>27443.599179323617</v>
      </c>
      <c r="N163" s="80">
        <f t="shared" si="33"/>
        <v>82762.071401545836</v>
      </c>
      <c r="O163" s="54">
        <f t="shared" si="34"/>
        <v>59034.911764417913</v>
      </c>
      <c r="P163" s="54">
        <f t="shared" si="35"/>
        <v>2081.5945106666663</v>
      </c>
      <c r="Q163" s="54">
        <f t="shared" si="36"/>
        <v>345013.91049980617</v>
      </c>
      <c r="R163" s="54">
        <f t="shared" si="37"/>
        <v>246101.4498420638</v>
      </c>
      <c r="S163" s="54">
        <f t="shared" si="38"/>
        <v>262251.83909826033</v>
      </c>
      <c r="T163" s="81">
        <f t="shared" si="39"/>
        <v>187066.53807764591</v>
      </c>
      <c r="U163" s="82">
        <f t="shared" si="40"/>
        <v>2029</v>
      </c>
      <c r="V163" s="414">
        <v>7.75</v>
      </c>
      <c r="W163" s="185"/>
      <c r="X163" s="185"/>
    </row>
    <row r="164" spans="1:24" s="113" customFormat="1" x14ac:dyDescent="0.2">
      <c r="A164" s="73">
        <v>94</v>
      </c>
      <c r="B164" s="74">
        <f t="shared" si="22"/>
        <v>0</v>
      </c>
      <c r="C164" s="75">
        <f t="shared" si="23"/>
        <v>0</v>
      </c>
      <c r="D164" s="75">
        <f t="shared" si="24"/>
        <v>159.28389816204339</v>
      </c>
      <c r="E164" s="54">
        <f t="shared" si="29"/>
        <v>159.28389816204339</v>
      </c>
      <c r="F164" s="76">
        <f t="shared" si="42"/>
        <v>18993.935142524719</v>
      </c>
      <c r="G164" s="77">
        <f t="shared" si="41"/>
        <v>325.0289117714949</v>
      </c>
      <c r="H164" s="79">
        <f t="shared" si="30"/>
        <v>30552.71770652058</v>
      </c>
      <c r="I164" s="78">
        <f t="shared" si="25"/>
        <v>165.74501360945152</v>
      </c>
      <c r="J164" s="76">
        <f t="shared" si="31"/>
        <v>55318.472222222219</v>
      </c>
      <c r="K164" s="80">
        <f t="shared" si="26"/>
        <v>106.18926544136225</v>
      </c>
      <c r="L164" s="78">
        <f t="shared" si="32"/>
        <v>6.8111585332906976</v>
      </c>
      <c r="M164" s="59">
        <f t="shared" si="27"/>
        <v>27443.599179323617</v>
      </c>
      <c r="N164" s="80">
        <f t="shared" si="33"/>
        <v>82762.071401545836</v>
      </c>
      <c r="O164" s="54">
        <f t="shared" si="34"/>
        <v>58863.227351309921</v>
      </c>
      <c r="P164" s="54">
        <f t="shared" si="35"/>
        <v>2088.6414509999995</v>
      </c>
      <c r="Q164" s="54">
        <f t="shared" si="36"/>
        <v>346181.90572125948</v>
      </c>
      <c r="R164" s="54">
        <f t="shared" si="37"/>
        <v>246216.45974172204</v>
      </c>
      <c r="S164" s="54">
        <f t="shared" si="38"/>
        <v>263419.83431971364</v>
      </c>
      <c r="T164" s="81">
        <f t="shared" si="39"/>
        <v>187353.2323904121</v>
      </c>
      <c r="U164" s="82">
        <f t="shared" si="40"/>
        <v>2029</v>
      </c>
      <c r="V164" s="414">
        <v>7.8333333333333304</v>
      </c>
      <c r="W164" s="185"/>
      <c r="X164" s="185"/>
    </row>
    <row r="165" spans="1:24" s="113" customFormat="1" x14ac:dyDescent="0.2">
      <c r="A165" s="73">
        <v>95</v>
      </c>
      <c r="B165" s="74">
        <f t="shared" si="22"/>
        <v>0</v>
      </c>
      <c r="C165" s="75">
        <f t="shared" si="23"/>
        <v>0</v>
      </c>
      <c r="D165" s="75">
        <f t="shared" si="24"/>
        <v>159.28389816204339</v>
      </c>
      <c r="E165" s="54">
        <f t="shared" si="29"/>
        <v>159.28389816204339</v>
      </c>
      <c r="F165" s="76">
        <f t="shared" si="42"/>
        <v>19153.219040686763</v>
      </c>
      <c r="G165" s="77">
        <f t="shared" si="41"/>
        <v>325.0289117714949</v>
      </c>
      <c r="H165" s="79">
        <f t="shared" si="30"/>
        <v>30877.746618292076</v>
      </c>
      <c r="I165" s="78">
        <f t="shared" si="25"/>
        <v>165.74501360945152</v>
      </c>
      <c r="J165" s="76">
        <f t="shared" si="31"/>
        <v>55318.472222222219</v>
      </c>
      <c r="K165" s="80">
        <f t="shared" si="26"/>
        <v>106.18926544136225</v>
      </c>
      <c r="L165" s="78">
        <f t="shared" si="32"/>
        <v>6.8111585332906976</v>
      </c>
      <c r="M165" s="59">
        <f t="shared" si="27"/>
        <v>27443.599179323617</v>
      </c>
      <c r="N165" s="80">
        <f t="shared" si="33"/>
        <v>82762.071401545836</v>
      </c>
      <c r="O165" s="54">
        <f t="shared" si="34"/>
        <v>58692.042228144514</v>
      </c>
      <c r="P165" s="54">
        <f t="shared" si="35"/>
        <v>2095.6883913333331</v>
      </c>
      <c r="Q165" s="54">
        <f t="shared" si="36"/>
        <v>347349.90094271285</v>
      </c>
      <c r="R165" s="54">
        <f t="shared" si="37"/>
        <v>246328.7192892895</v>
      </c>
      <c r="S165" s="54">
        <f t="shared" si="38"/>
        <v>264587.82954116701</v>
      </c>
      <c r="T165" s="81">
        <f t="shared" si="39"/>
        <v>187636.67706114496</v>
      </c>
      <c r="U165" s="82">
        <f t="shared" si="40"/>
        <v>2029</v>
      </c>
      <c r="V165" s="414">
        <v>7.9166666666666599</v>
      </c>
      <c r="W165" s="185"/>
      <c r="X165" s="185"/>
    </row>
    <row r="166" spans="1:24" s="113" customFormat="1" x14ac:dyDescent="0.2">
      <c r="A166" s="73">
        <v>96</v>
      </c>
      <c r="B166" s="74">
        <f t="shared" si="22"/>
        <v>0</v>
      </c>
      <c r="C166" s="75">
        <f t="shared" si="23"/>
        <v>0</v>
      </c>
      <c r="D166" s="75">
        <f t="shared" si="24"/>
        <v>159.28389816204339</v>
      </c>
      <c r="E166" s="54">
        <f t="shared" si="29"/>
        <v>159.28389816204339</v>
      </c>
      <c r="F166" s="76">
        <f t="shared" si="42"/>
        <v>19312.502938848807</v>
      </c>
      <c r="G166" s="77">
        <f t="shared" si="41"/>
        <v>325.0289117714949</v>
      </c>
      <c r="H166" s="79">
        <f t="shared" si="30"/>
        <v>31202.775530063573</v>
      </c>
      <c r="I166" s="78">
        <f t="shared" si="25"/>
        <v>165.74501360945152</v>
      </c>
      <c r="J166" s="76">
        <f t="shared" si="31"/>
        <v>55318.472222222219</v>
      </c>
      <c r="K166" s="80">
        <f t="shared" si="26"/>
        <v>106.18926544136225</v>
      </c>
      <c r="L166" s="78">
        <f t="shared" si="32"/>
        <v>6.8111585332906976</v>
      </c>
      <c r="M166" s="59">
        <f t="shared" si="27"/>
        <v>27443.599179323617</v>
      </c>
      <c r="N166" s="80">
        <f t="shared" si="33"/>
        <v>82762.071401545836</v>
      </c>
      <c r="O166" s="54">
        <f t="shared" si="34"/>
        <v>58521.354942894395</v>
      </c>
      <c r="P166" s="54">
        <f t="shared" si="35"/>
        <v>2102.7353316666663</v>
      </c>
      <c r="Q166" s="54">
        <f t="shared" si="36"/>
        <v>348517.89616416616</v>
      </c>
      <c r="R166" s="54">
        <f t="shared" si="37"/>
        <v>246438.24350912787</v>
      </c>
      <c r="S166" s="54">
        <f t="shared" si="38"/>
        <v>265755.82476262032</v>
      </c>
      <c r="T166" s="81">
        <f t="shared" si="39"/>
        <v>187916.88856623348</v>
      </c>
      <c r="U166" s="82">
        <f t="shared" si="40"/>
        <v>2029</v>
      </c>
      <c r="V166" s="414">
        <v>8</v>
      </c>
      <c r="W166" s="185"/>
      <c r="X166" s="185"/>
    </row>
    <row r="167" spans="1:24" s="113" customFormat="1" x14ac:dyDescent="0.2">
      <c r="A167" s="73">
        <v>97</v>
      </c>
      <c r="B167" s="74">
        <f t="shared" si="22"/>
        <v>0</v>
      </c>
      <c r="C167" s="75">
        <f t="shared" si="23"/>
        <v>0</v>
      </c>
      <c r="D167" s="75">
        <f t="shared" si="24"/>
        <v>159.28389816204339</v>
      </c>
      <c r="E167" s="54">
        <f t="shared" si="29"/>
        <v>159.28389816204339</v>
      </c>
      <c r="F167" s="76">
        <f t="shared" si="42"/>
        <v>19471.786837010852</v>
      </c>
      <c r="G167" s="77">
        <f t="shared" si="41"/>
        <v>325.0289117714949</v>
      </c>
      <c r="H167" s="79">
        <f t="shared" si="30"/>
        <v>31527.804441835069</v>
      </c>
      <c r="I167" s="78">
        <f t="shared" si="25"/>
        <v>165.74501360945152</v>
      </c>
      <c r="J167" s="76">
        <f t="shared" si="31"/>
        <v>55318.472222222219</v>
      </c>
      <c r="K167" s="80">
        <f t="shared" si="26"/>
        <v>106.18926544136225</v>
      </c>
      <c r="L167" s="78">
        <f t="shared" si="32"/>
        <v>6.8111585332906976</v>
      </c>
      <c r="M167" s="59">
        <f t="shared" si="27"/>
        <v>27443.599179323617</v>
      </c>
      <c r="N167" s="80">
        <f t="shared" si="33"/>
        <v>82762.071401545836</v>
      </c>
      <c r="O167" s="54">
        <f t="shared" si="34"/>
        <v>58351.164047755126</v>
      </c>
      <c r="P167" s="54">
        <f t="shared" si="35"/>
        <v>2109.7822719999999</v>
      </c>
      <c r="Q167" s="54">
        <f t="shared" si="36"/>
        <v>349685.89138561953</v>
      </c>
      <c r="R167" s="54">
        <f t="shared" si="37"/>
        <v>246545.04736147347</v>
      </c>
      <c r="S167" s="54">
        <f t="shared" si="38"/>
        <v>266923.81998407369</v>
      </c>
      <c r="T167" s="81">
        <f t="shared" si="39"/>
        <v>188193.88331371834</v>
      </c>
      <c r="U167" s="376">
        <f t="shared" si="40"/>
        <v>2030</v>
      </c>
      <c r="V167" s="414">
        <v>8.0833333333333304</v>
      </c>
      <c r="W167" s="185"/>
      <c r="X167" s="185"/>
    </row>
    <row r="168" spans="1:24" s="113" customFormat="1" x14ac:dyDescent="0.2">
      <c r="A168" s="73">
        <v>98</v>
      </c>
      <c r="B168" s="74">
        <f t="shared" si="22"/>
        <v>0</v>
      </c>
      <c r="C168" s="75">
        <f t="shared" si="23"/>
        <v>0</v>
      </c>
      <c r="D168" s="75">
        <f t="shared" si="24"/>
        <v>159.28389816204339</v>
      </c>
      <c r="E168" s="54">
        <f t="shared" si="29"/>
        <v>159.28389816204339</v>
      </c>
      <c r="F168" s="76">
        <f t="shared" si="42"/>
        <v>19631.070735172896</v>
      </c>
      <c r="G168" s="77">
        <f t="shared" si="41"/>
        <v>325.0289117714949</v>
      </c>
      <c r="H168" s="79">
        <f t="shared" si="30"/>
        <v>31852.833353606566</v>
      </c>
      <c r="I168" s="78">
        <f t="shared" si="25"/>
        <v>165.74501360945152</v>
      </c>
      <c r="J168" s="76">
        <f t="shared" si="31"/>
        <v>55318.472222222219</v>
      </c>
      <c r="K168" s="80">
        <f t="shared" si="26"/>
        <v>106.18926544136225</v>
      </c>
      <c r="L168" s="78">
        <f t="shared" si="32"/>
        <v>6.8111585332906976</v>
      </c>
      <c r="M168" s="59">
        <f t="shared" si="27"/>
        <v>27443.599179323617</v>
      </c>
      <c r="N168" s="80">
        <f t="shared" si="33"/>
        <v>82762.071401545836</v>
      </c>
      <c r="O168" s="54">
        <f t="shared" si="34"/>
        <v>58181.468099132639</v>
      </c>
      <c r="P168" s="54">
        <f t="shared" si="35"/>
        <v>2116.8292123333331</v>
      </c>
      <c r="Q168" s="54">
        <f t="shared" si="36"/>
        <v>350853.88660707284</v>
      </c>
      <c r="R168" s="54">
        <f t="shared" si="37"/>
        <v>246649.14574268169</v>
      </c>
      <c r="S168" s="54">
        <f t="shared" si="38"/>
        <v>268091.815205527</v>
      </c>
      <c r="T168" s="81">
        <f t="shared" si="39"/>
        <v>188467.67764354908</v>
      </c>
      <c r="U168" s="82">
        <f t="shared" si="40"/>
        <v>2030</v>
      </c>
      <c r="V168" s="414">
        <v>8.1666666666666607</v>
      </c>
      <c r="W168" s="185"/>
      <c r="X168" s="185"/>
    </row>
    <row r="169" spans="1:24" s="113" customFormat="1" x14ac:dyDescent="0.2">
      <c r="A169" s="73">
        <v>99</v>
      </c>
      <c r="B169" s="74">
        <f t="shared" si="22"/>
        <v>0</v>
      </c>
      <c r="C169" s="75">
        <f t="shared" si="23"/>
        <v>0</v>
      </c>
      <c r="D169" s="75">
        <f t="shared" si="24"/>
        <v>159.28389816204339</v>
      </c>
      <c r="E169" s="54">
        <f t="shared" si="29"/>
        <v>159.28389816204339</v>
      </c>
      <c r="F169" s="76">
        <f t="shared" si="42"/>
        <v>19790.35463333494</v>
      </c>
      <c r="G169" s="77">
        <f t="shared" si="41"/>
        <v>325.0289117714949</v>
      </c>
      <c r="H169" s="79">
        <f t="shared" si="30"/>
        <v>32177.862265378062</v>
      </c>
      <c r="I169" s="78">
        <f t="shared" si="25"/>
        <v>165.74501360945152</v>
      </c>
      <c r="J169" s="76">
        <f t="shared" si="31"/>
        <v>55318.472222222219</v>
      </c>
      <c r="K169" s="80">
        <f t="shared" si="26"/>
        <v>106.18926544136225</v>
      </c>
      <c r="L169" s="78">
        <f t="shared" si="32"/>
        <v>6.8111585332906976</v>
      </c>
      <c r="M169" s="59">
        <f t="shared" si="27"/>
        <v>27443.599179323617</v>
      </c>
      <c r="N169" s="80">
        <f t="shared" si="33"/>
        <v>82762.071401545836</v>
      </c>
      <c r="O169" s="54">
        <f t="shared" si="34"/>
        <v>58012.265657631222</v>
      </c>
      <c r="P169" s="54">
        <f t="shared" si="35"/>
        <v>2123.8761526666663</v>
      </c>
      <c r="Q169" s="54">
        <f t="shared" si="36"/>
        <v>352021.88182852615</v>
      </c>
      <c r="R169" s="54">
        <f t="shared" si="37"/>
        <v>246750.55348547365</v>
      </c>
      <c r="S169" s="54">
        <f t="shared" si="38"/>
        <v>269259.81042698032</v>
      </c>
      <c r="T169" s="81">
        <f t="shared" si="39"/>
        <v>188738.28782784243</v>
      </c>
      <c r="U169" s="82">
        <f t="shared" si="40"/>
        <v>2030</v>
      </c>
      <c r="V169" s="414">
        <v>8.25</v>
      </c>
      <c r="W169" s="185"/>
      <c r="X169" s="185"/>
    </row>
    <row r="170" spans="1:24" s="113" customFormat="1" x14ac:dyDescent="0.2">
      <c r="A170" s="73">
        <v>100</v>
      </c>
      <c r="B170" s="74">
        <f t="shared" si="22"/>
        <v>0</v>
      </c>
      <c r="C170" s="75">
        <f t="shared" si="23"/>
        <v>0</v>
      </c>
      <c r="D170" s="75">
        <f t="shared" si="24"/>
        <v>159.28389816204339</v>
      </c>
      <c r="E170" s="54">
        <f t="shared" si="29"/>
        <v>159.28389816204339</v>
      </c>
      <c r="F170" s="76">
        <f t="shared" si="42"/>
        <v>19949.638531496985</v>
      </c>
      <c r="G170" s="77">
        <f t="shared" si="41"/>
        <v>325.0289117714949</v>
      </c>
      <c r="H170" s="79">
        <f t="shared" si="30"/>
        <v>32502.891177149559</v>
      </c>
      <c r="I170" s="78">
        <f t="shared" si="25"/>
        <v>165.74501360945152</v>
      </c>
      <c r="J170" s="76">
        <f t="shared" si="31"/>
        <v>55318.472222222219</v>
      </c>
      <c r="K170" s="80">
        <f t="shared" si="26"/>
        <v>106.18926544136225</v>
      </c>
      <c r="L170" s="78">
        <f t="shared" si="32"/>
        <v>6.8111585332906976</v>
      </c>
      <c r="M170" s="59">
        <f t="shared" si="27"/>
        <v>27443.599179323617</v>
      </c>
      <c r="N170" s="80">
        <f t="shared" si="33"/>
        <v>82762.071401545836</v>
      </c>
      <c r="O170" s="54">
        <f t="shared" si="34"/>
        <v>57843.555288041083</v>
      </c>
      <c r="P170" s="54">
        <f t="shared" si="35"/>
        <v>2130.9230929999994</v>
      </c>
      <c r="Q170" s="54">
        <f t="shared" si="36"/>
        <v>353189.8770499794</v>
      </c>
      <c r="R170" s="54">
        <f t="shared" si="37"/>
        <v>246849.28535917876</v>
      </c>
      <c r="S170" s="54">
        <f t="shared" si="38"/>
        <v>270427.80564843357</v>
      </c>
      <c r="T170" s="81">
        <f t="shared" si="39"/>
        <v>189005.73007113769</v>
      </c>
      <c r="U170" s="82">
        <f t="shared" si="40"/>
        <v>2030</v>
      </c>
      <c r="V170" s="414">
        <v>8.3333333333333304</v>
      </c>
      <c r="W170" s="185"/>
      <c r="X170" s="185"/>
    </row>
    <row r="171" spans="1:24" s="113" customFormat="1" x14ac:dyDescent="0.2">
      <c r="A171" s="73">
        <v>101</v>
      </c>
      <c r="B171" s="74">
        <f t="shared" si="22"/>
        <v>0</v>
      </c>
      <c r="C171" s="75">
        <f t="shared" si="23"/>
        <v>0</v>
      </c>
      <c r="D171" s="75">
        <f t="shared" si="24"/>
        <v>159.28389816204339</v>
      </c>
      <c r="E171" s="54">
        <f t="shared" si="29"/>
        <v>159.28389816204339</v>
      </c>
      <c r="F171" s="76">
        <f t="shared" si="42"/>
        <v>20108.922429659029</v>
      </c>
      <c r="G171" s="77">
        <f t="shared" si="41"/>
        <v>325.0289117714949</v>
      </c>
      <c r="H171" s="79">
        <f t="shared" si="30"/>
        <v>32827.920088921055</v>
      </c>
      <c r="I171" s="78">
        <f t="shared" si="25"/>
        <v>165.74501360945152</v>
      </c>
      <c r="J171" s="76">
        <f t="shared" si="31"/>
        <v>55318.472222222219</v>
      </c>
      <c r="K171" s="80">
        <f t="shared" si="26"/>
        <v>106.18926544136225</v>
      </c>
      <c r="L171" s="78">
        <f t="shared" si="32"/>
        <v>6.8111585332906976</v>
      </c>
      <c r="M171" s="59">
        <f t="shared" si="27"/>
        <v>27443.599179323617</v>
      </c>
      <c r="N171" s="80">
        <f t="shared" si="33"/>
        <v>82762.071401545836</v>
      </c>
      <c r="O171" s="54">
        <f t="shared" si="34"/>
        <v>57675.335559326399</v>
      </c>
      <c r="P171" s="54">
        <f t="shared" si="35"/>
        <v>2137.970033333333</v>
      </c>
      <c r="Q171" s="54">
        <f t="shared" si="36"/>
        <v>354357.87227143283</v>
      </c>
      <c r="R171" s="54">
        <f t="shared" si="37"/>
        <v>246945.35606997958</v>
      </c>
      <c r="S171" s="54">
        <f t="shared" si="38"/>
        <v>271595.800869887</v>
      </c>
      <c r="T171" s="81">
        <f t="shared" si="39"/>
        <v>189270.02051065321</v>
      </c>
      <c r="U171" s="82">
        <f t="shared" si="40"/>
        <v>2030</v>
      </c>
      <c r="V171" s="414">
        <v>8.4166666666666607</v>
      </c>
      <c r="W171" s="185"/>
      <c r="X171" s="185"/>
    </row>
    <row r="172" spans="1:24" s="113" customFormat="1" x14ac:dyDescent="0.2">
      <c r="A172" s="73">
        <v>102</v>
      </c>
      <c r="B172" s="74">
        <f t="shared" si="22"/>
        <v>0</v>
      </c>
      <c r="C172" s="75">
        <f t="shared" si="23"/>
        <v>0</v>
      </c>
      <c r="D172" s="75">
        <f t="shared" si="24"/>
        <v>159.28389816204339</v>
      </c>
      <c r="E172" s="54">
        <f t="shared" si="29"/>
        <v>159.28389816204339</v>
      </c>
      <c r="F172" s="76">
        <f t="shared" si="42"/>
        <v>20268.206327821074</v>
      </c>
      <c r="G172" s="77">
        <f t="shared" si="41"/>
        <v>325.0289117714949</v>
      </c>
      <c r="H172" s="79">
        <f t="shared" si="30"/>
        <v>33152.949000692548</v>
      </c>
      <c r="I172" s="78">
        <f t="shared" si="25"/>
        <v>165.74501360945152</v>
      </c>
      <c r="J172" s="76">
        <f t="shared" si="31"/>
        <v>55318.472222222219</v>
      </c>
      <c r="K172" s="80">
        <f t="shared" si="26"/>
        <v>106.18926544136225</v>
      </c>
      <c r="L172" s="78">
        <f t="shared" si="32"/>
        <v>6.8111585332906976</v>
      </c>
      <c r="M172" s="59">
        <f t="shared" si="27"/>
        <v>27443.599179323617</v>
      </c>
      <c r="N172" s="80">
        <f t="shared" si="33"/>
        <v>82762.071401545836</v>
      </c>
      <c r="O172" s="54">
        <f t="shared" si="34"/>
        <v>57507.605044612945</v>
      </c>
      <c r="P172" s="54">
        <f t="shared" si="35"/>
        <v>2145.0169736666662</v>
      </c>
      <c r="Q172" s="54">
        <f t="shared" si="36"/>
        <v>355525.86749288609</v>
      </c>
      <c r="R172" s="54">
        <f t="shared" si="37"/>
        <v>247038.78026115242</v>
      </c>
      <c r="S172" s="54">
        <f t="shared" si="38"/>
        <v>272763.79609134025</v>
      </c>
      <c r="T172" s="81">
        <f t="shared" si="39"/>
        <v>189531.17521653947</v>
      </c>
      <c r="U172" s="82">
        <f t="shared" si="40"/>
        <v>2030</v>
      </c>
      <c r="V172" s="414">
        <v>8.5</v>
      </c>
      <c r="W172" s="185"/>
      <c r="X172" s="185"/>
    </row>
    <row r="173" spans="1:24" s="113" customFormat="1" x14ac:dyDescent="0.2">
      <c r="A173" s="73">
        <v>103</v>
      </c>
      <c r="B173" s="74">
        <f t="shared" si="22"/>
        <v>0</v>
      </c>
      <c r="C173" s="75">
        <f t="shared" si="23"/>
        <v>0</v>
      </c>
      <c r="D173" s="75">
        <f t="shared" si="24"/>
        <v>159.28389816204339</v>
      </c>
      <c r="E173" s="54">
        <f t="shared" si="29"/>
        <v>159.28389816204339</v>
      </c>
      <c r="F173" s="76">
        <f t="shared" si="42"/>
        <v>20427.490225983118</v>
      </c>
      <c r="G173" s="77">
        <f t="shared" si="41"/>
        <v>325.0289117714949</v>
      </c>
      <c r="H173" s="79">
        <f t="shared" si="30"/>
        <v>33477.977912464041</v>
      </c>
      <c r="I173" s="78">
        <f t="shared" si="25"/>
        <v>165.74501360945152</v>
      </c>
      <c r="J173" s="76">
        <f t="shared" si="31"/>
        <v>55318.472222222219</v>
      </c>
      <c r="K173" s="80">
        <f t="shared" si="26"/>
        <v>106.18926544136225</v>
      </c>
      <c r="L173" s="78">
        <f t="shared" si="32"/>
        <v>6.8111585332906976</v>
      </c>
      <c r="M173" s="59">
        <f t="shared" si="27"/>
        <v>27443.599179323617</v>
      </c>
      <c r="N173" s="80">
        <f t="shared" si="33"/>
        <v>82762.071401545836</v>
      </c>
      <c r="O173" s="54">
        <f t="shared" si="34"/>
        <v>57340.362321176173</v>
      </c>
      <c r="P173" s="54">
        <f t="shared" si="35"/>
        <v>2152.0639139999998</v>
      </c>
      <c r="Q173" s="54">
        <f t="shared" si="36"/>
        <v>356693.86271433946</v>
      </c>
      <c r="R173" s="54">
        <f t="shared" si="37"/>
        <v>247129.57251331044</v>
      </c>
      <c r="S173" s="54">
        <f t="shared" si="38"/>
        <v>273931.79131279362</v>
      </c>
      <c r="T173" s="81">
        <f t="shared" si="39"/>
        <v>189789.21019213425</v>
      </c>
      <c r="U173" s="82">
        <f t="shared" si="40"/>
        <v>2030</v>
      </c>
      <c r="V173" s="414">
        <v>8.5833333333333304</v>
      </c>
      <c r="W173" s="185"/>
      <c r="X173" s="185"/>
    </row>
    <row r="174" spans="1:24" s="113" customFormat="1" x14ac:dyDescent="0.2">
      <c r="A174" s="73">
        <v>104</v>
      </c>
      <c r="B174" s="74">
        <f t="shared" si="22"/>
        <v>0</v>
      </c>
      <c r="C174" s="75">
        <f t="shared" si="23"/>
        <v>0</v>
      </c>
      <c r="D174" s="75">
        <f t="shared" si="24"/>
        <v>159.28389816204339</v>
      </c>
      <c r="E174" s="54">
        <f t="shared" si="29"/>
        <v>159.28389816204339</v>
      </c>
      <c r="F174" s="76">
        <f t="shared" si="42"/>
        <v>20586.774124145162</v>
      </c>
      <c r="G174" s="77">
        <f t="shared" si="41"/>
        <v>325.0289117714949</v>
      </c>
      <c r="H174" s="79">
        <f t="shared" si="30"/>
        <v>33803.006824235534</v>
      </c>
      <c r="I174" s="78">
        <f t="shared" si="25"/>
        <v>165.74501360945152</v>
      </c>
      <c r="J174" s="76">
        <f t="shared" si="31"/>
        <v>55318.472222222219</v>
      </c>
      <c r="K174" s="80">
        <f t="shared" si="26"/>
        <v>106.18926544136225</v>
      </c>
      <c r="L174" s="78">
        <f t="shared" si="32"/>
        <v>6.8111585332906976</v>
      </c>
      <c r="M174" s="59">
        <f t="shared" si="27"/>
        <v>27443.599179323617</v>
      </c>
      <c r="N174" s="80">
        <f t="shared" si="33"/>
        <v>82762.071401545836</v>
      </c>
      <c r="O174" s="54">
        <f t="shared" si="34"/>
        <v>57173.605970429082</v>
      </c>
      <c r="P174" s="54">
        <f t="shared" si="35"/>
        <v>2159.110854333333</v>
      </c>
      <c r="Q174" s="54">
        <f t="shared" si="36"/>
        <v>357861.85793579277</v>
      </c>
      <c r="R174" s="54">
        <f t="shared" si="37"/>
        <v>247217.74734464326</v>
      </c>
      <c r="S174" s="54">
        <f t="shared" si="38"/>
        <v>275099.78653424693</v>
      </c>
      <c r="T174" s="81">
        <f t="shared" si="39"/>
        <v>190044.14137421417</v>
      </c>
      <c r="U174" s="82">
        <f t="shared" si="40"/>
        <v>2030</v>
      </c>
      <c r="V174" s="414">
        <v>8.6666666666666607</v>
      </c>
      <c r="W174" s="185"/>
      <c r="X174" s="185"/>
    </row>
    <row r="175" spans="1:24" s="113" customFormat="1" x14ac:dyDescent="0.2">
      <c r="A175" s="73">
        <v>105</v>
      </c>
      <c r="B175" s="74">
        <f t="shared" si="22"/>
        <v>0</v>
      </c>
      <c r="C175" s="75">
        <f t="shared" si="23"/>
        <v>0</v>
      </c>
      <c r="D175" s="75">
        <f t="shared" si="24"/>
        <v>159.28389816204339</v>
      </c>
      <c r="E175" s="54">
        <f t="shared" si="29"/>
        <v>159.28389816204339</v>
      </c>
      <c r="F175" s="76">
        <f t="shared" si="42"/>
        <v>20746.058022307207</v>
      </c>
      <c r="G175" s="77">
        <f t="shared" si="41"/>
        <v>325.0289117714949</v>
      </c>
      <c r="H175" s="79">
        <f t="shared" si="30"/>
        <v>34128.035736007027</v>
      </c>
      <c r="I175" s="78">
        <f t="shared" si="25"/>
        <v>165.74501360945152</v>
      </c>
      <c r="J175" s="76">
        <f t="shared" si="31"/>
        <v>55318.472222222219</v>
      </c>
      <c r="K175" s="80">
        <f t="shared" si="26"/>
        <v>106.18926544136225</v>
      </c>
      <c r="L175" s="78">
        <f t="shared" si="32"/>
        <v>6.8111585332906976</v>
      </c>
      <c r="M175" s="59">
        <f t="shared" si="27"/>
        <v>27443.599179323617</v>
      </c>
      <c r="N175" s="80">
        <f t="shared" si="33"/>
        <v>82762.071401545836</v>
      </c>
      <c r="O175" s="54">
        <f t="shared" si="34"/>
        <v>57007.334577910195</v>
      </c>
      <c r="P175" s="54">
        <f t="shared" si="35"/>
        <v>2166.1577946666662</v>
      </c>
      <c r="Q175" s="54">
        <f t="shared" si="36"/>
        <v>359029.85315724608</v>
      </c>
      <c r="R175" s="54">
        <f t="shared" si="37"/>
        <v>247303.31921115745</v>
      </c>
      <c r="S175" s="54">
        <f t="shared" si="38"/>
        <v>276267.78175570024</v>
      </c>
      <c r="T175" s="81">
        <f t="shared" si="39"/>
        <v>190295.98463324725</v>
      </c>
      <c r="U175" s="82">
        <f t="shared" si="40"/>
        <v>2030</v>
      </c>
      <c r="V175" s="414">
        <v>8.75</v>
      </c>
      <c r="W175" s="185"/>
      <c r="X175" s="185"/>
    </row>
    <row r="176" spans="1:24" s="113" customFormat="1" x14ac:dyDescent="0.2">
      <c r="A176" s="73">
        <v>106</v>
      </c>
      <c r="B176" s="74">
        <f t="shared" si="22"/>
        <v>0</v>
      </c>
      <c r="C176" s="75">
        <f t="shared" si="23"/>
        <v>0</v>
      </c>
      <c r="D176" s="75">
        <f t="shared" si="24"/>
        <v>159.28389816204339</v>
      </c>
      <c r="E176" s="54">
        <f t="shared" si="29"/>
        <v>159.28389816204339</v>
      </c>
      <c r="F176" s="76">
        <f t="shared" si="42"/>
        <v>20905.341920469251</v>
      </c>
      <c r="G176" s="77">
        <f t="shared" si="41"/>
        <v>325.0289117714949</v>
      </c>
      <c r="H176" s="79">
        <f t="shared" si="30"/>
        <v>34453.064647778519</v>
      </c>
      <c r="I176" s="78">
        <f t="shared" si="25"/>
        <v>165.74501360945152</v>
      </c>
      <c r="J176" s="76">
        <f t="shared" si="31"/>
        <v>55318.472222222219</v>
      </c>
      <c r="K176" s="80">
        <f t="shared" si="26"/>
        <v>106.18926544136225</v>
      </c>
      <c r="L176" s="78">
        <f t="shared" si="32"/>
        <v>6.8111585332906976</v>
      </c>
      <c r="M176" s="59">
        <f t="shared" si="27"/>
        <v>27443.599179323617</v>
      </c>
      <c r="N176" s="80">
        <f t="shared" si="33"/>
        <v>82762.071401545836</v>
      </c>
      <c r="O176" s="54">
        <f t="shared" si="34"/>
        <v>56841.546733271483</v>
      </c>
      <c r="P176" s="54">
        <f t="shared" si="35"/>
        <v>2173.2047349999998</v>
      </c>
      <c r="Q176" s="54">
        <f t="shared" si="36"/>
        <v>360197.84837869945</v>
      </c>
      <c r="R176" s="54">
        <f t="shared" si="37"/>
        <v>247386.30250691457</v>
      </c>
      <c r="S176" s="54">
        <f t="shared" si="38"/>
        <v>277435.77697715361</v>
      </c>
      <c r="T176" s="81">
        <f t="shared" si="39"/>
        <v>190544.75577364306</v>
      </c>
      <c r="U176" s="82">
        <f t="shared" si="40"/>
        <v>2030</v>
      </c>
      <c r="V176" s="414">
        <v>8.8333333333333304</v>
      </c>
      <c r="W176" s="185"/>
      <c r="X176" s="185"/>
    </row>
    <row r="177" spans="1:24" s="113" customFormat="1" x14ac:dyDescent="0.2">
      <c r="A177" s="73">
        <v>107</v>
      </c>
      <c r="B177" s="74">
        <f t="shared" si="22"/>
        <v>0</v>
      </c>
      <c r="C177" s="75">
        <f t="shared" si="23"/>
        <v>0</v>
      </c>
      <c r="D177" s="75">
        <f t="shared" si="24"/>
        <v>159.28389816204339</v>
      </c>
      <c r="E177" s="54">
        <f t="shared" si="29"/>
        <v>159.28389816204339</v>
      </c>
      <c r="F177" s="76">
        <f t="shared" si="42"/>
        <v>21064.625818631295</v>
      </c>
      <c r="G177" s="77">
        <f t="shared" si="41"/>
        <v>325.0289117714949</v>
      </c>
      <c r="H177" s="79">
        <f t="shared" si="30"/>
        <v>34778.093559550012</v>
      </c>
      <c r="I177" s="78">
        <f t="shared" si="25"/>
        <v>165.74501360945152</v>
      </c>
      <c r="J177" s="76">
        <f t="shared" si="31"/>
        <v>55318.472222222219</v>
      </c>
      <c r="K177" s="80">
        <f t="shared" si="26"/>
        <v>106.18926544136225</v>
      </c>
      <c r="L177" s="78">
        <f t="shared" si="32"/>
        <v>6.8111585332906976</v>
      </c>
      <c r="M177" s="59">
        <f t="shared" si="27"/>
        <v>27443.599179323617</v>
      </c>
      <c r="N177" s="80">
        <f t="shared" si="33"/>
        <v>82762.071401545836</v>
      </c>
      <c r="O177" s="54">
        <f t="shared" si="34"/>
        <v>56676.241030266545</v>
      </c>
      <c r="P177" s="54">
        <f t="shared" si="35"/>
        <v>2180.251675333333</v>
      </c>
      <c r="Q177" s="54">
        <f t="shared" si="36"/>
        <v>361365.84360015276</v>
      </c>
      <c r="R177" s="54">
        <f t="shared" si="37"/>
        <v>247466.71156426999</v>
      </c>
      <c r="S177" s="54">
        <f t="shared" si="38"/>
        <v>278603.77219860692</v>
      </c>
      <c r="T177" s="81">
        <f t="shared" si="39"/>
        <v>190790.47053400343</v>
      </c>
      <c r="U177" s="82">
        <f t="shared" si="40"/>
        <v>2030</v>
      </c>
      <c r="V177" s="414">
        <v>8.9166666666666607</v>
      </c>
      <c r="W177" s="185"/>
      <c r="X177" s="185"/>
    </row>
    <row r="178" spans="1:24" s="113" customFormat="1" x14ac:dyDescent="0.2">
      <c r="A178" s="73">
        <v>108</v>
      </c>
      <c r="B178" s="74">
        <f t="shared" si="22"/>
        <v>0</v>
      </c>
      <c r="C178" s="75">
        <f t="shared" si="23"/>
        <v>0</v>
      </c>
      <c r="D178" s="75">
        <f t="shared" si="24"/>
        <v>159.28389816204339</v>
      </c>
      <c r="E178" s="54">
        <f t="shared" si="29"/>
        <v>159.28389816204339</v>
      </c>
      <c r="F178" s="76">
        <f t="shared" si="42"/>
        <v>21223.90971679334</v>
      </c>
      <c r="G178" s="77">
        <f t="shared" si="41"/>
        <v>325.0289117714949</v>
      </c>
      <c r="H178" s="79">
        <f t="shared" si="30"/>
        <v>35103.122471321505</v>
      </c>
      <c r="I178" s="78">
        <f t="shared" si="25"/>
        <v>165.74501360945152</v>
      </c>
      <c r="J178" s="76">
        <f t="shared" si="31"/>
        <v>55318.472222222219</v>
      </c>
      <c r="K178" s="80">
        <f t="shared" si="26"/>
        <v>106.18926544136225</v>
      </c>
      <c r="L178" s="78">
        <f t="shared" si="32"/>
        <v>6.8111585332906976</v>
      </c>
      <c r="M178" s="59">
        <f t="shared" si="27"/>
        <v>27443.599179323617</v>
      </c>
      <c r="N178" s="80">
        <f t="shared" si="33"/>
        <v>82762.071401545836</v>
      </c>
      <c r="O178" s="54">
        <f t="shared" si="34"/>
        <v>56511.416066738544</v>
      </c>
      <c r="P178" s="54">
        <f t="shared" si="35"/>
        <v>2187.2986156666661</v>
      </c>
      <c r="Q178" s="54">
        <f t="shared" si="36"/>
        <v>362533.83882160607</v>
      </c>
      <c r="R178" s="54">
        <f t="shared" si="37"/>
        <v>247544.56065410958</v>
      </c>
      <c r="S178" s="54">
        <f t="shared" si="38"/>
        <v>279771.76742006023</v>
      </c>
      <c r="T178" s="81">
        <f t="shared" si="39"/>
        <v>191033.14458737103</v>
      </c>
      <c r="U178" s="82">
        <f t="shared" si="40"/>
        <v>2030</v>
      </c>
      <c r="V178" s="414">
        <v>9</v>
      </c>
      <c r="W178" s="185"/>
      <c r="X178" s="185"/>
    </row>
    <row r="179" spans="1:24" s="113" customFormat="1" x14ac:dyDescent="0.2">
      <c r="A179" s="73">
        <v>109</v>
      </c>
      <c r="B179" s="74">
        <f t="shared" si="22"/>
        <v>0</v>
      </c>
      <c r="C179" s="75">
        <f t="shared" si="23"/>
        <v>0</v>
      </c>
      <c r="D179" s="75">
        <f t="shared" si="24"/>
        <v>159.28389816204339</v>
      </c>
      <c r="E179" s="54">
        <f t="shared" si="29"/>
        <v>159.28389816204339</v>
      </c>
      <c r="F179" s="76">
        <f t="shared" si="42"/>
        <v>21383.193614955384</v>
      </c>
      <c r="G179" s="77">
        <f t="shared" si="41"/>
        <v>325.0289117714949</v>
      </c>
      <c r="H179" s="79">
        <f t="shared" si="30"/>
        <v>35428.151383092998</v>
      </c>
      <c r="I179" s="78">
        <f t="shared" si="25"/>
        <v>165.74501360945152</v>
      </c>
      <c r="J179" s="76">
        <f t="shared" si="31"/>
        <v>55318.472222222219</v>
      </c>
      <c r="K179" s="80">
        <f t="shared" si="26"/>
        <v>106.18926544136225</v>
      </c>
      <c r="L179" s="78">
        <f t="shared" si="32"/>
        <v>6.8111585332906976</v>
      </c>
      <c r="M179" s="59">
        <f t="shared" si="27"/>
        <v>27443.599179323617</v>
      </c>
      <c r="N179" s="80">
        <f t="shared" si="33"/>
        <v>82762.071401545836</v>
      </c>
      <c r="O179" s="54">
        <f t="shared" si="34"/>
        <v>56347.070444608449</v>
      </c>
      <c r="P179" s="54">
        <f t="shared" si="35"/>
        <v>2194.3455559999998</v>
      </c>
      <c r="Q179" s="54">
        <f t="shared" si="36"/>
        <v>363701.83404305944</v>
      </c>
      <c r="R179" s="54">
        <f t="shared" si="37"/>
        <v>247619.86398608651</v>
      </c>
      <c r="S179" s="54">
        <f t="shared" si="38"/>
        <v>280939.7626415136</v>
      </c>
      <c r="T179" s="81">
        <f t="shared" si="39"/>
        <v>191272.79354147808</v>
      </c>
      <c r="U179" s="376">
        <f t="shared" si="40"/>
        <v>2031</v>
      </c>
      <c r="V179" s="414">
        <v>9.0833333333333304</v>
      </c>
      <c r="W179" s="185"/>
      <c r="X179" s="185"/>
    </row>
    <row r="180" spans="1:24" s="113" customFormat="1" x14ac:dyDescent="0.2">
      <c r="A180" s="73">
        <v>110</v>
      </c>
      <c r="B180" s="74">
        <f t="shared" si="22"/>
        <v>0</v>
      </c>
      <c r="C180" s="75">
        <f t="shared" si="23"/>
        <v>0</v>
      </c>
      <c r="D180" s="75">
        <f t="shared" si="24"/>
        <v>159.28389816204339</v>
      </c>
      <c r="E180" s="54">
        <f t="shared" si="29"/>
        <v>159.28389816204339</v>
      </c>
      <c r="F180" s="76">
        <f t="shared" si="42"/>
        <v>21542.477513117428</v>
      </c>
      <c r="G180" s="77">
        <f t="shared" si="41"/>
        <v>325.0289117714949</v>
      </c>
      <c r="H180" s="79">
        <f t="shared" si="30"/>
        <v>35753.180294864491</v>
      </c>
      <c r="I180" s="78">
        <f t="shared" si="25"/>
        <v>165.74501360945152</v>
      </c>
      <c r="J180" s="76">
        <f t="shared" si="31"/>
        <v>55318.472222222219</v>
      </c>
      <c r="K180" s="80">
        <f t="shared" si="26"/>
        <v>106.18926544136225</v>
      </c>
      <c r="L180" s="78">
        <f t="shared" si="32"/>
        <v>6.8111585332906976</v>
      </c>
      <c r="M180" s="59">
        <f t="shared" si="27"/>
        <v>27443.599179323617</v>
      </c>
      <c r="N180" s="80">
        <f t="shared" si="33"/>
        <v>82762.071401545836</v>
      </c>
      <c r="O180" s="54">
        <f t="shared" si="34"/>
        <v>56183.202769863012</v>
      </c>
      <c r="P180" s="54">
        <f t="shared" si="35"/>
        <v>2201.3924963333329</v>
      </c>
      <c r="Q180" s="54">
        <f t="shared" si="36"/>
        <v>364869.82926451269</v>
      </c>
      <c r="R180" s="54">
        <f t="shared" si="37"/>
        <v>247692.6357088559</v>
      </c>
      <c r="S180" s="54">
        <f t="shared" si="38"/>
        <v>282107.75786296686</v>
      </c>
      <c r="T180" s="81">
        <f t="shared" si="39"/>
        <v>191509.43293899289</v>
      </c>
      <c r="U180" s="82">
        <f t="shared" si="40"/>
        <v>2031</v>
      </c>
      <c r="V180" s="414">
        <v>9.1666666666666607</v>
      </c>
      <c r="W180" s="185"/>
      <c r="X180" s="185"/>
    </row>
    <row r="181" spans="1:24" s="113" customFormat="1" x14ac:dyDescent="0.2">
      <c r="A181" s="73">
        <v>111</v>
      </c>
      <c r="B181" s="74">
        <f t="shared" si="22"/>
        <v>0</v>
      </c>
      <c r="C181" s="75">
        <f t="shared" si="23"/>
        <v>0</v>
      </c>
      <c r="D181" s="75">
        <f t="shared" si="24"/>
        <v>159.28389816204339</v>
      </c>
      <c r="E181" s="54">
        <f t="shared" si="29"/>
        <v>159.28389816204339</v>
      </c>
      <c r="F181" s="76">
        <f t="shared" si="42"/>
        <v>21701.761411279473</v>
      </c>
      <c r="G181" s="77">
        <f t="shared" si="41"/>
        <v>325.0289117714949</v>
      </c>
      <c r="H181" s="79">
        <f t="shared" si="30"/>
        <v>36078.209206635984</v>
      </c>
      <c r="I181" s="78">
        <f t="shared" si="25"/>
        <v>165.74501360945152</v>
      </c>
      <c r="J181" s="76">
        <f t="shared" si="31"/>
        <v>55318.472222222219</v>
      </c>
      <c r="K181" s="80">
        <f t="shared" si="26"/>
        <v>106.18926544136225</v>
      </c>
      <c r="L181" s="78">
        <f t="shared" si="32"/>
        <v>6.8111585332906976</v>
      </c>
      <c r="M181" s="59">
        <f t="shared" si="27"/>
        <v>27443.599179323617</v>
      </c>
      <c r="N181" s="80">
        <f t="shared" si="33"/>
        <v>82762.071401545836</v>
      </c>
      <c r="O181" s="54">
        <f t="shared" si="34"/>
        <v>56019.811652543103</v>
      </c>
      <c r="P181" s="54">
        <f t="shared" si="35"/>
        <v>2208.4394366666666</v>
      </c>
      <c r="Q181" s="54">
        <f t="shared" si="36"/>
        <v>366037.82448596612</v>
      </c>
      <c r="R181" s="54">
        <f t="shared" si="37"/>
        <v>247762.88991031042</v>
      </c>
      <c r="S181" s="54">
        <f t="shared" si="38"/>
        <v>283275.75308442028</v>
      </c>
      <c r="T181" s="81">
        <f t="shared" si="39"/>
        <v>191743.07825776731</v>
      </c>
      <c r="U181" s="82">
        <f t="shared" si="40"/>
        <v>2031</v>
      </c>
      <c r="V181" s="414">
        <v>9.25</v>
      </c>
      <c r="W181" s="185"/>
      <c r="X181" s="185"/>
    </row>
    <row r="182" spans="1:24" s="113" customFormat="1" x14ac:dyDescent="0.2">
      <c r="A182" s="73">
        <v>112</v>
      </c>
      <c r="B182" s="74">
        <f t="shared" si="22"/>
        <v>0</v>
      </c>
      <c r="C182" s="75">
        <f t="shared" si="23"/>
        <v>0</v>
      </c>
      <c r="D182" s="75">
        <f t="shared" si="24"/>
        <v>159.28389816204339</v>
      </c>
      <c r="E182" s="54">
        <f t="shared" si="29"/>
        <v>159.28389816204339</v>
      </c>
      <c r="F182" s="76">
        <f t="shared" si="42"/>
        <v>21861.045309441517</v>
      </c>
      <c r="G182" s="77">
        <f t="shared" si="41"/>
        <v>325.0289117714949</v>
      </c>
      <c r="H182" s="79">
        <f t="shared" si="30"/>
        <v>36403.238118407477</v>
      </c>
      <c r="I182" s="78">
        <f t="shared" si="25"/>
        <v>165.74501360945152</v>
      </c>
      <c r="J182" s="76">
        <f t="shared" si="31"/>
        <v>55318.472222222219</v>
      </c>
      <c r="K182" s="80">
        <f t="shared" si="26"/>
        <v>106.18926544136225</v>
      </c>
      <c r="L182" s="78">
        <f t="shared" si="32"/>
        <v>6.8111585332906976</v>
      </c>
      <c r="M182" s="59">
        <f t="shared" si="27"/>
        <v>27443.599179323617</v>
      </c>
      <c r="N182" s="80">
        <f t="shared" si="33"/>
        <v>82762.071401545836</v>
      </c>
      <c r="O182" s="54">
        <f t="shared" si="34"/>
        <v>55856.895706731782</v>
      </c>
      <c r="P182" s="54">
        <f t="shared" si="35"/>
        <v>2215.4863769999997</v>
      </c>
      <c r="Q182" s="54">
        <f t="shared" si="36"/>
        <v>367205.81970741937</v>
      </c>
      <c r="R182" s="54">
        <f t="shared" si="37"/>
        <v>247830.64061781293</v>
      </c>
      <c r="S182" s="54">
        <f t="shared" si="38"/>
        <v>284443.74830587354</v>
      </c>
      <c r="T182" s="81">
        <f t="shared" si="39"/>
        <v>191973.74491108116</v>
      </c>
      <c r="U182" s="82">
        <f t="shared" si="40"/>
        <v>2031</v>
      </c>
      <c r="V182" s="414">
        <v>9.3333333333333304</v>
      </c>
      <c r="W182" s="185"/>
      <c r="X182" s="185"/>
    </row>
    <row r="183" spans="1:24" s="113" customFormat="1" x14ac:dyDescent="0.2">
      <c r="A183" s="73">
        <v>113</v>
      </c>
      <c r="B183" s="74">
        <f t="shared" si="22"/>
        <v>0</v>
      </c>
      <c r="C183" s="75">
        <f t="shared" si="23"/>
        <v>0</v>
      </c>
      <c r="D183" s="75">
        <f t="shared" si="24"/>
        <v>159.28389816204339</v>
      </c>
      <c r="E183" s="54">
        <f t="shared" si="29"/>
        <v>159.28389816204339</v>
      </c>
      <c r="F183" s="76">
        <f t="shared" si="42"/>
        <v>22020.329207603561</v>
      </c>
      <c r="G183" s="77">
        <f t="shared" si="41"/>
        <v>325.0289117714949</v>
      </c>
      <c r="H183" s="79">
        <f t="shared" si="30"/>
        <v>36728.267030178969</v>
      </c>
      <c r="I183" s="78">
        <f t="shared" si="25"/>
        <v>165.74501360945152</v>
      </c>
      <c r="J183" s="76">
        <f t="shared" si="31"/>
        <v>55318.472222222219</v>
      </c>
      <c r="K183" s="80">
        <f t="shared" si="26"/>
        <v>106.18926544136225</v>
      </c>
      <c r="L183" s="78">
        <f t="shared" si="32"/>
        <v>6.8111585332906976</v>
      </c>
      <c r="M183" s="59">
        <f t="shared" si="27"/>
        <v>27443.599179323617</v>
      </c>
      <c r="N183" s="80">
        <f t="shared" si="33"/>
        <v>82762.071401545836</v>
      </c>
      <c r="O183" s="54">
        <f t="shared" si="34"/>
        <v>55694.453550542705</v>
      </c>
      <c r="P183" s="54">
        <f t="shared" si="35"/>
        <v>2222.5333173333329</v>
      </c>
      <c r="Q183" s="54">
        <f t="shared" si="36"/>
        <v>368373.81492887269</v>
      </c>
      <c r="R183" s="54">
        <f t="shared" si="37"/>
        <v>247895.90179843068</v>
      </c>
      <c r="S183" s="54">
        <f t="shared" si="38"/>
        <v>285611.74352732685</v>
      </c>
      <c r="T183" s="81">
        <f t="shared" si="39"/>
        <v>192201.44824788798</v>
      </c>
      <c r="U183" s="82">
        <f t="shared" si="40"/>
        <v>2031</v>
      </c>
      <c r="V183" s="414">
        <v>9.4166666666666607</v>
      </c>
      <c r="W183" s="185"/>
      <c r="X183" s="185"/>
    </row>
    <row r="184" spans="1:24" s="113" customFormat="1" x14ac:dyDescent="0.2">
      <c r="A184" s="73">
        <v>114</v>
      </c>
      <c r="B184" s="74">
        <f t="shared" si="22"/>
        <v>0</v>
      </c>
      <c r="C184" s="75">
        <f t="shared" si="23"/>
        <v>0</v>
      </c>
      <c r="D184" s="75">
        <f t="shared" si="24"/>
        <v>159.28389816204339</v>
      </c>
      <c r="E184" s="54">
        <f t="shared" si="29"/>
        <v>159.28389816204339</v>
      </c>
      <c r="F184" s="76">
        <f t="shared" si="42"/>
        <v>22179.613105765606</v>
      </c>
      <c r="G184" s="77">
        <f t="shared" si="41"/>
        <v>325.0289117714949</v>
      </c>
      <c r="H184" s="79">
        <f t="shared" si="30"/>
        <v>37053.295941950462</v>
      </c>
      <c r="I184" s="78">
        <f t="shared" si="25"/>
        <v>165.74501360945152</v>
      </c>
      <c r="J184" s="76">
        <f t="shared" si="31"/>
        <v>55318.472222222219</v>
      </c>
      <c r="K184" s="80">
        <f t="shared" si="26"/>
        <v>106.18926544136225</v>
      </c>
      <c r="L184" s="78">
        <f t="shared" si="32"/>
        <v>6.8111585332906976</v>
      </c>
      <c r="M184" s="59">
        <f t="shared" si="27"/>
        <v>27443.599179323617</v>
      </c>
      <c r="N184" s="80">
        <f t="shared" si="33"/>
        <v>82762.071401545836</v>
      </c>
      <c r="O184" s="54">
        <f t="shared" si="34"/>
        <v>55532.483806108219</v>
      </c>
      <c r="P184" s="54">
        <f t="shared" si="35"/>
        <v>2229.5802576666665</v>
      </c>
      <c r="Q184" s="54">
        <f t="shared" si="36"/>
        <v>369541.81015032606</v>
      </c>
      <c r="R184" s="54">
        <f t="shared" si="37"/>
        <v>247958.68735916627</v>
      </c>
      <c r="S184" s="54">
        <f t="shared" si="38"/>
        <v>286779.73874878022</v>
      </c>
      <c r="T184" s="81">
        <f t="shared" si="39"/>
        <v>192426.20355305806</v>
      </c>
      <c r="U184" s="82">
        <f t="shared" si="40"/>
        <v>2031</v>
      </c>
      <c r="V184" s="414">
        <v>9.5</v>
      </c>
      <c r="W184" s="185"/>
      <c r="X184" s="185"/>
    </row>
    <row r="185" spans="1:24" s="113" customFormat="1" x14ac:dyDescent="0.2">
      <c r="A185" s="73">
        <v>115</v>
      </c>
      <c r="B185" s="74">
        <f t="shared" si="22"/>
        <v>0</v>
      </c>
      <c r="C185" s="75">
        <f t="shared" si="23"/>
        <v>0</v>
      </c>
      <c r="D185" s="75">
        <f t="shared" si="24"/>
        <v>159.28389816204339</v>
      </c>
      <c r="E185" s="54">
        <f t="shared" si="29"/>
        <v>159.28389816204339</v>
      </c>
      <c r="F185" s="76">
        <f t="shared" si="42"/>
        <v>22338.89700392765</v>
      </c>
      <c r="G185" s="77">
        <f t="shared" si="41"/>
        <v>325.0289117714949</v>
      </c>
      <c r="H185" s="79">
        <f t="shared" si="30"/>
        <v>37378.324853721955</v>
      </c>
      <c r="I185" s="78">
        <f t="shared" si="25"/>
        <v>165.74501360945152</v>
      </c>
      <c r="J185" s="76">
        <f t="shared" si="31"/>
        <v>55318.472222222219</v>
      </c>
      <c r="K185" s="80">
        <f t="shared" si="26"/>
        <v>106.18926544136225</v>
      </c>
      <c r="L185" s="78">
        <f t="shared" si="32"/>
        <v>6.8111585332906976</v>
      </c>
      <c r="M185" s="59">
        <f t="shared" si="27"/>
        <v>27443.599179323617</v>
      </c>
      <c r="N185" s="80">
        <f t="shared" si="33"/>
        <v>82762.071401545836</v>
      </c>
      <c r="O185" s="54">
        <f t="shared" si="34"/>
        <v>55370.985099567813</v>
      </c>
      <c r="P185" s="54">
        <f t="shared" si="35"/>
        <v>2236.6271979999997</v>
      </c>
      <c r="Q185" s="54">
        <f t="shared" si="36"/>
        <v>370709.80537177937</v>
      </c>
      <c r="R185" s="54">
        <f t="shared" si="37"/>
        <v>248019.01114718939</v>
      </c>
      <c r="S185" s="54">
        <f t="shared" si="38"/>
        <v>287947.73397023353</v>
      </c>
      <c r="T185" s="81">
        <f t="shared" si="39"/>
        <v>192648.02604762156</v>
      </c>
      <c r="U185" s="82">
        <f t="shared" si="40"/>
        <v>2031</v>
      </c>
      <c r="V185" s="414">
        <v>9.5833333333333304</v>
      </c>
      <c r="W185" s="185"/>
      <c r="X185" s="185"/>
    </row>
    <row r="186" spans="1:24" s="113" customFormat="1" x14ac:dyDescent="0.2">
      <c r="A186" s="73">
        <v>116</v>
      </c>
      <c r="B186" s="74">
        <f t="shared" si="22"/>
        <v>0</v>
      </c>
      <c r="C186" s="75">
        <f t="shared" si="23"/>
        <v>0</v>
      </c>
      <c r="D186" s="75">
        <f t="shared" si="24"/>
        <v>159.28389816204339</v>
      </c>
      <c r="E186" s="54">
        <f t="shared" si="29"/>
        <v>159.28389816204339</v>
      </c>
      <c r="F186" s="76">
        <f t="shared" si="42"/>
        <v>22498.180902089694</v>
      </c>
      <c r="G186" s="77">
        <f t="shared" si="41"/>
        <v>325.0289117714949</v>
      </c>
      <c r="H186" s="79">
        <f t="shared" si="30"/>
        <v>37703.353765493448</v>
      </c>
      <c r="I186" s="78">
        <f t="shared" si="25"/>
        <v>165.74501360945152</v>
      </c>
      <c r="J186" s="76">
        <f t="shared" si="31"/>
        <v>55318.472222222219</v>
      </c>
      <c r="K186" s="80">
        <f t="shared" si="26"/>
        <v>106.18926544136225</v>
      </c>
      <c r="L186" s="78">
        <f t="shared" si="32"/>
        <v>6.8111585332906976</v>
      </c>
      <c r="M186" s="59">
        <f t="shared" si="27"/>
        <v>27443.599179323617</v>
      </c>
      <c r="N186" s="80">
        <f t="shared" si="33"/>
        <v>82762.071401545836</v>
      </c>
      <c r="O186" s="54">
        <f t="shared" si="34"/>
        <v>55209.9560610564</v>
      </c>
      <c r="P186" s="54">
        <f t="shared" si="35"/>
        <v>2243.6741383333333</v>
      </c>
      <c r="Q186" s="54">
        <f t="shared" si="36"/>
        <v>371877.80059323274</v>
      </c>
      <c r="R186" s="54">
        <f t="shared" si="37"/>
        <v>248076.88695006716</v>
      </c>
      <c r="S186" s="54">
        <f t="shared" si="38"/>
        <v>289115.7291916869</v>
      </c>
      <c r="T186" s="81">
        <f t="shared" si="39"/>
        <v>192866.93088901075</v>
      </c>
      <c r="U186" s="82">
        <f t="shared" si="40"/>
        <v>2031</v>
      </c>
      <c r="V186" s="414">
        <v>9.6666666666666607</v>
      </c>
      <c r="W186" s="185"/>
      <c r="X186" s="185"/>
    </row>
    <row r="187" spans="1:24" s="113" customFormat="1" x14ac:dyDescent="0.2">
      <c r="A187" s="73">
        <v>117</v>
      </c>
      <c r="B187" s="74">
        <f t="shared" si="22"/>
        <v>0</v>
      </c>
      <c r="C187" s="75">
        <f t="shared" si="23"/>
        <v>0</v>
      </c>
      <c r="D187" s="75">
        <f t="shared" si="24"/>
        <v>159.28389816204339</v>
      </c>
      <c r="E187" s="54">
        <f t="shared" si="29"/>
        <v>159.28389816204339</v>
      </c>
      <c r="F187" s="76">
        <f t="shared" si="42"/>
        <v>22657.464800251739</v>
      </c>
      <c r="G187" s="77">
        <f t="shared" si="41"/>
        <v>325.0289117714949</v>
      </c>
      <c r="H187" s="79">
        <f t="shared" si="30"/>
        <v>38028.382677264941</v>
      </c>
      <c r="I187" s="78">
        <f t="shared" si="25"/>
        <v>165.74501360945152</v>
      </c>
      <c r="J187" s="76">
        <f t="shared" si="31"/>
        <v>55318.472222222219</v>
      </c>
      <c r="K187" s="80">
        <f t="shared" si="26"/>
        <v>106.18926544136225</v>
      </c>
      <c r="L187" s="78">
        <f t="shared" si="32"/>
        <v>6.8111585332906976</v>
      </c>
      <c r="M187" s="59">
        <f t="shared" si="27"/>
        <v>27443.599179323617</v>
      </c>
      <c r="N187" s="80">
        <f t="shared" si="33"/>
        <v>82762.071401545836</v>
      </c>
      <c r="O187" s="54">
        <f t="shared" si="34"/>
        <v>55049.395324692712</v>
      </c>
      <c r="P187" s="54">
        <f t="shared" si="35"/>
        <v>2250.721078666666</v>
      </c>
      <c r="Q187" s="54">
        <f t="shared" si="36"/>
        <v>373045.79581468599</v>
      </c>
      <c r="R187" s="54">
        <f t="shared" si="37"/>
        <v>248132.3284959936</v>
      </c>
      <c r="S187" s="54">
        <f t="shared" si="38"/>
        <v>290283.72441314015</v>
      </c>
      <c r="T187" s="81">
        <f t="shared" si="39"/>
        <v>193082.93317130086</v>
      </c>
      <c r="U187" s="82">
        <f t="shared" si="40"/>
        <v>2031</v>
      </c>
      <c r="V187" s="414">
        <v>9.75</v>
      </c>
      <c r="W187" s="185"/>
      <c r="X187" s="185"/>
    </row>
    <row r="188" spans="1:24" s="113" customFormat="1" x14ac:dyDescent="0.2">
      <c r="A188" s="73">
        <v>118</v>
      </c>
      <c r="B188" s="74">
        <f t="shared" si="22"/>
        <v>0</v>
      </c>
      <c r="C188" s="75">
        <f t="shared" si="23"/>
        <v>0</v>
      </c>
      <c r="D188" s="75">
        <f t="shared" si="24"/>
        <v>159.28389816204339</v>
      </c>
      <c r="E188" s="54">
        <f t="shared" si="29"/>
        <v>159.28389816204339</v>
      </c>
      <c r="F188" s="76">
        <f t="shared" si="42"/>
        <v>22816.748698413783</v>
      </c>
      <c r="G188" s="77">
        <f t="shared" si="41"/>
        <v>325.0289117714949</v>
      </c>
      <c r="H188" s="79">
        <f t="shared" si="30"/>
        <v>38353.411589036434</v>
      </c>
      <c r="I188" s="78">
        <f t="shared" si="25"/>
        <v>165.74501360945152</v>
      </c>
      <c r="J188" s="76">
        <f t="shared" si="31"/>
        <v>55318.472222222219</v>
      </c>
      <c r="K188" s="80">
        <f t="shared" si="26"/>
        <v>106.18926544136225</v>
      </c>
      <c r="L188" s="78">
        <f t="shared" si="32"/>
        <v>6.8111585332906976</v>
      </c>
      <c r="M188" s="59">
        <f t="shared" si="27"/>
        <v>27443.599179323617</v>
      </c>
      <c r="N188" s="80">
        <f t="shared" si="33"/>
        <v>82762.071401545836</v>
      </c>
      <c r="O188" s="54">
        <f t="shared" si="34"/>
        <v>54889.301528567732</v>
      </c>
      <c r="P188" s="54">
        <f t="shared" si="35"/>
        <v>2257.7680189999996</v>
      </c>
      <c r="Q188" s="54">
        <f t="shared" si="36"/>
        <v>374213.79103613936</v>
      </c>
      <c r="R188" s="54">
        <f t="shared" si="37"/>
        <v>248185.34945401858</v>
      </c>
      <c r="S188" s="54">
        <f t="shared" si="38"/>
        <v>291451.71963459352</v>
      </c>
      <c r="T188" s="81">
        <f t="shared" si="39"/>
        <v>193296.04792545084</v>
      </c>
      <c r="U188" s="82">
        <f t="shared" si="40"/>
        <v>2031</v>
      </c>
      <c r="V188" s="414">
        <v>9.8333333333333304</v>
      </c>
      <c r="W188" s="185"/>
      <c r="X188" s="185"/>
    </row>
    <row r="189" spans="1:24" s="113" customFormat="1" x14ac:dyDescent="0.2">
      <c r="A189" s="73">
        <v>119</v>
      </c>
      <c r="B189" s="74">
        <f t="shared" si="22"/>
        <v>0</v>
      </c>
      <c r="C189" s="75">
        <f t="shared" si="23"/>
        <v>0</v>
      </c>
      <c r="D189" s="75">
        <f t="shared" si="24"/>
        <v>159.28389816204339</v>
      </c>
      <c r="E189" s="54">
        <f t="shared" si="29"/>
        <v>159.28389816204339</v>
      </c>
      <c r="F189" s="76">
        <f t="shared" si="42"/>
        <v>22976.032596575827</v>
      </c>
      <c r="G189" s="77">
        <f t="shared" si="41"/>
        <v>325.0289117714949</v>
      </c>
      <c r="H189" s="79">
        <f t="shared" si="30"/>
        <v>38678.440500807927</v>
      </c>
      <c r="I189" s="78">
        <f t="shared" si="25"/>
        <v>165.74501360945152</v>
      </c>
      <c r="J189" s="76">
        <f t="shared" si="31"/>
        <v>55318.472222222219</v>
      </c>
      <c r="K189" s="80">
        <f t="shared" si="26"/>
        <v>106.18926544136225</v>
      </c>
      <c r="L189" s="78">
        <f t="shared" si="32"/>
        <v>6.8111585332906976</v>
      </c>
      <c r="M189" s="59">
        <f t="shared" si="27"/>
        <v>27443.599179323617</v>
      </c>
      <c r="N189" s="80">
        <f t="shared" si="33"/>
        <v>82762.071401545836</v>
      </c>
      <c r="O189" s="54">
        <f t="shared" si="34"/>
        <v>54729.673314733096</v>
      </c>
      <c r="P189" s="54">
        <f t="shared" si="35"/>
        <v>2264.8149593333328</v>
      </c>
      <c r="Q189" s="54">
        <f t="shared" si="36"/>
        <v>375381.78625759261</v>
      </c>
      <c r="R189" s="54">
        <f t="shared" si="37"/>
        <v>248235.96343427524</v>
      </c>
      <c r="S189" s="54">
        <f t="shared" si="38"/>
        <v>292619.71485604678</v>
      </c>
      <c r="T189" s="81">
        <f t="shared" si="39"/>
        <v>193506.29011954216</v>
      </c>
      <c r="U189" s="82">
        <f t="shared" si="40"/>
        <v>2031</v>
      </c>
      <c r="V189" s="414">
        <v>9.9166666666666607</v>
      </c>
      <c r="W189" s="185"/>
      <c r="X189" s="185"/>
    </row>
    <row r="190" spans="1:24" s="113" customFormat="1" x14ac:dyDescent="0.2">
      <c r="A190" s="73">
        <v>120</v>
      </c>
      <c r="B190" s="74">
        <f t="shared" si="22"/>
        <v>0</v>
      </c>
      <c r="C190" s="75">
        <f t="shared" si="23"/>
        <v>0</v>
      </c>
      <c r="D190" s="75">
        <f t="shared" si="24"/>
        <v>159.28389816204339</v>
      </c>
      <c r="E190" s="54">
        <f t="shared" si="29"/>
        <v>159.28389816204339</v>
      </c>
      <c r="F190" s="76">
        <f t="shared" si="42"/>
        <v>23135.316494737872</v>
      </c>
      <c r="G190" s="77">
        <f t="shared" si="41"/>
        <v>325.0289117714949</v>
      </c>
      <c r="H190" s="79">
        <f t="shared" si="30"/>
        <v>39003.469412579419</v>
      </c>
      <c r="I190" s="78">
        <f t="shared" si="25"/>
        <v>165.74501360945152</v>
      </c>
      <c r="J190" s="76">
        <f t="shared" si="31"/>
        <v>55318.472222222219</v>
      </c>
      <c r="K190" s="80">
        <f t="shared" si="26"/>
        <v>106.18926544136225</v>
      </c>
      <c r="L190" s="78">
        <f t="shared" si="32"/>
        <v>6.8111585332906976</v>
      </c>
      <c r="M190" s="59">
        <f t="shared" si="27"/>
        <v>27443.599179323617</v>
      </c>
      <c r="N190" s="80">
        <f t="shared" si="33"/>
        <v>82762.071401545836</v>
      </c>
      <c r="O190" s="54">
        <f t="shared" si="34"/>
        <v>54570.509329189612</v>
      </c>
      <c r="P190" s="54">
        <f t="shared" si="35"/>
        <v>2271.8618996666664</v>
      </c>
      <c r="Q190" s="54">
        <f t="shared" si="36"/>
        <v>376549.78147904598</v>
      </c>
      <c r="R190" s="54">
        <f t="shared" si="37"/>
        <v>248284.18398820769</v>
      </c>
      <c r="S190" s="54">
        <f t="shared" si="38"/>
        <v>293787.71007750015</v>
      </c>
      <c r="T190" s="81">
        <f t="shared" si="39"/>
        <v>193713.67465901808</v>
      </c>
      <c r="U190" s="82">
        <f t="shared" si="40"/>
        <v>2031</v>
      </c>
      <c r="V190" s="414">
        <v>10</v>
      </c>
      <c r="W190" s="185"/>
      <c r="X190" s="185"/>
    </row>
    <row r="191" spans="1:24" s="113" customFormat="1" x14ac:dyDescent="0.2">
      <c r="A191" s="73">
        <v>121</v>
      </c>
      <c r="B191" s="74">
        <f t="shared" si="22"/>
        <v>0</v>
      </c>
      <c r="C191" s="75">
        <f t="shared" si="23"/>
        <v>0</v>
      </c>
      <c r="D191" s="75">
        <f t="shared" si="24"/>
        <v>159.28389816204339</v>
      </c>
      <c r="E191" s="54">
        <f t="shared" si="29"/>
        <v>159.28389816204339</v>
      </c>
      <c r="F191" s="76">
        <f t="shared" si="42"/>
        <v>23294.600392899916</v>
      </c>
      <c r="G191" s="77">
        <f t="shared" si="41"/>
        <v>325.0289117714949</v>
      </c>
      <c r="H191" s="79">
        <f t="shared" si="30"/>
        <v>39328.498324350912</v>
      </c>
      <c r="I191" s="78">
        <f t="shared" si="25"/>
        <v>165.74501360945152</v>
      </c>
      <c r="J191" s="76">
        <f t="shared" si="31"/>
        <v>55318.472222222219</v>
      </c>
      <c r="K191" s="80">
        <f t="shared" si="26"/>
        <v>106.18926544136225</v>
      </c>
      <c r="L191" s="78">
        <f t="shared" si="32"/>
        <v>6.8111585332906976</v>
      </c>
      <c r="M191" s="59">
        <f t="shared" si="27"/>
        <v>27443.599179323617</v>
      </c>
      <c r="N191" s="80">
        <f t="shared" si="33"/>
        <v>82762.071401545836</v>
      </c>
      <c r="O191" s="54">
        <f t="shared" si="34"/>
        <v>54411.808221875821</v>
      </c>
      <c r="P191" s="54">
        <f t="shared" si="35"/>
        <v>2278.9088399999996</v>
      </c>
      <c r="Q191" s="54">
        <f t="shared" si="36"/>
        <v>377717.77670049929</v>
      </c>
      <c r="R191" s="54">
        <f t="shared" si="37"/>
        <v>248330.0246087969</v>
      </c>
      <c r="S191" s="54">
        <f t="shared" si="38"/>
        <v>294955.70529895346</v>
      </c>
      <c r="T191" s="81">
        <f t="shared" si="39"/>
        <v>193918.21638692106</v>
      </c>
      <c r="U191" s="376">
        <f t="shared" si="40"/>
        <v>2032</v>
      </c>
      <c r="V191" s="414">
        <v>10.0833333333333</v>
      </c>
      <c r="W191" s="185"/>
      <c r="X191" s="185"/>
    </row>
    <row r="192" spans="1:24" s="113" customFormat="1" x14ac:dyDescent="0.2">
      <c r="A192" s="73">
        <v>122</v>
      </c>
      <c r="B192" s="74">
        <f t="shared" si="22"/>
        <v>0</v>
      </c>
      <c r="C192" s="75">
        <f t="shared" si="23"/>
        <v>0</v>
      </c>
      <c r="D192" s="75">
        <f t="shared" si="24"/>
        <v>159.28389816204339</v>
      </c>
      <c r="E192" s="54">
        <f t="shared" si="29"/>
        <v>159.28389816204339</v>
      </c>
      <c r="F192" s="76">
        <f t="shared" si="42"/>
        <v>23453.884291061961</v>
      </c>
      <c r="G192" s="77">
        <f t="shared" si="41"/>
        <v>325.0289117714949</v>
      </c>
      <c r="H192" s="79">
        <f t="shared" si="30"/>
        <v>39653.527236122405</v>
      </c>
      <c r="I192" s="78">
        <f t="shared" si="25"/>
        <v>165.74501360945152</v>
      </c>
      <c r="J192" s="76">
        <f t="shared" si="31"/>
        <v>55318.472222222219</v>
      </c>
      <c r="K192" s="80">
        <f t="shared" si="26"/>
        <v>106.18926544136225</v>
      </c>
      <c r="L192" s="78">
        <f t="shared" si="32"/>
        <v>6.8111585332906976</v>
      </c>
      <c r="M192" s="59">
        <f t="shared" si="27"/>
        <v>27443.599179323617</v>
      </c>
      <c r="N192" s="80">
        <f t="shared" si="33"/>
        <v>82762.071401545836</v>
      </c>
      <c r="O192" s="54">
        <f t="shared" si="34"/>
        <v>54253.568646656415</v>
      </c>
      <c r="P192" s="54">
        <f t="shared" si="35"/>
        <v>2285.9557803333328</v>
      </c>
      <c r="Q192" s="54">
        <f t="shared" si="36"/>
        <v>378885.7719219526</v>
      </c>
      <c r="R192" s="54">
        <f t="shared" si="37"/>
        <v>248373.49873078597</v>
      </c>
      <c r="S192" s="54">
        <f t="shared" si="38"/>
        <v>296123.70052040677</v>
      </c>
      <c r="T192" s="81">
        <f t="shared" si="39"/>
        <v>194119.93008412956</v>
      </c>
      <c r="U192" s="82">
        <f t="shared" si="40"/>
        <v>2032</v>
      </c>
      <c r="V192" s="414">
        <v>10.1666666666666</v>
      </c>
      <c r="W192" s="185"/>
      <c r="X192" s="185"/>
    </row>
    <row r="193" spans="1:24" s="113" customFormat="1" x14ac:dyDescent="0.2">
      <c r="A193" s="73">
        <v>123</v>
      </c>
      <c r="B193" s="74">
        <f t="shared" si="22"/>
        <v>0</v>
      </c>
      <c r="C193" s="75">
        <f t="shared" si="23"/>
        <v>0</v>
      </c>
      <c r="D193" s="75">
        <f t="shared" si="24"/>
        <v>159.28389816204339</v>
      </c>
      <c r="E193" s="54">
        <f t="shared" si="29"/>
        <v>159.28389816204339</v>
      </c>
      <c r="F193" s="76">
        <f t="shared" si="42"/>
        <v>23613.168189224005</v>
      </c>
      <c r="G193" s="77">
        <f t="shared" si="41"/>
        <v>325.0289117714949</v>
      </c>
      <c r="H193" s="79">
        <f t="shared" si="30"/>
        <v>39978.556147893898</v>
      </c>
      <c r="I193" s="78">
        <f t="shared" si="25"/>
        <v>165.74501360945152</v>
      </c>
      <c r="J193" s="76">
        <f t="shared" si="31"/>
        <v>55318.472222222219</v>
      </c>
      <c r="K193" s="80">
        <f t="shared" si="26"/>
        <v>106.18926544136225</v>
      </c>
      <c r="L193" s="78">
        <f t="shared" si="32"/>
        <v>6.8111585332906976</v>
      </c>
      <c r="M193" s="59">
        <f t="shared" si="27"/>
        <v>27443.599179323617</v>
      </c>
      <c r="N193" s="80">
        <f t="shared" si="33"/>
        <v>82762.071401545836</v>
      </c>
      <c r="O193" s="54">
        <f t="shared" si="34"/>
        <v>54095.789261310929</v>
      </c>
      <c r="P193" s="54">
        <f t="shared" si="35"/>
        <v>2293.0027206666664</v>
      </c>
      <c r="Q193" s="54">
        <f t="shared" si="36"/>
        <v>380053.76714340597</v>
      </c>
      <c r="R193" s="54">
        <f t="shared" si="37"/>
        <v>248414.61973090511</v>
      </c>
      <c r="S193" s="54">
        <f t="shared" si="38"/>
        <v>297291.69574186014</v>
      </c>
      <c r="T193" s="81">
        <f t="shared" si="39"/>
        <v>194318.83046959416</v>
      </c>
      <c r="U193" s="82">
        <f t="shared" si="40"/>
        <v>2032</v>
      </c>
      <c r="V193" s="414">
        <v>10.25</v>
      </c>
      <c r="W193" s="185"/>
      <c r="X193" s="185"/>
    </row>
    <row r="194" spans="1:24" s="113" customFormat="1" x14ac:dyDescent="0.2">
      <c r="A194" s="73">
        <v>124</v>
      </c>
      <c r="B194" s="74">
        <f t="shared" si="22"/>
        <v>0</v>
      </c>
      <c r="C194" s="75">
        <f t="shared" si="23"/>
        <v>0</v>
      </c>
      <c r="D194" s="75">
        <f t="shared" si="24"/>
        <v>159.28389816204339</v>
      </c>
      <c r="E194" s="54">
        <f t="shared" si="29"/>
        <v>159.28389816204339</v>
      </c>
      <c r="F194" s="76">
        <f t="shared" si="42"/>
        <v>23772.452087386049</v>
      </c>
      <c r="G194" s="77">
        <f t="shared" si="41"/>
        <v>325.0289117714949</v>
      </c>
      <c r="H194" s="79">
        <f t="shared" si="30"/>
        <v>40303.585059665391</v>
      </c>
      <c r="I194" s="78">
        <f t="shared" si="25"/>
        <v>165.74501360945152</v>
      </c>
      <c r="J194" s="76">
        <f t="shared" si="31"/>
        <v>55318.472222222219</v>
      </c>
      <c r="K194" s="80">
        <f t="shared" si="26"/>
        <v>106.18926544136225</v>
      </c>
      <c r="L194" s="78">
        <f t="shared" si="32"/>
        <v>6.8111585332906976</v>
      </c>
      <c r="M194" s="59">
        <f t="shared" si="27"/>
        <v>27443.599179323617</v>
      </c>
      <c r="N194" s="80">
        <f t="shared" si="33"/>
        <v>82762.071401545836</v>
      </c>
      <c r="O194" s="54">
        <f t="shared" si="34"/>
        <v>53938.468727522304</v>
      </c>
      <c r="P194" s="54">
        <f t="shared" si="35"/>
        <v>2300.0496609999996</v>
      </c>
      <c r="Q194" s="54">
        <f t="shared" si="36"/>
        <v>381221.76236485929</v>
      </c>
      <c r="R194" s="54">
        <f t="shared" si="37"/>
        <v>248453.4009280951</v>
      </c>
      <c r="S194" s="54">
        <f t="shared" si="38"/>
        <v>298459.69096331345</v>
      </c>
      <c r="T194" s="81">
        <f t="shared" si="39"/>
        <v>194514.9322005728</v>
      </c>
      <c r="U194" s="82">
        <f t="shared" si="40"/>
        <v>2032</v>
      </c>
      <c r="V194" s="414">
        <v>10.3333333333333</v>
      </c>
      <c r="W194" s="185"/>
      <c r="X194" s="185"/>
    </row>
    <row r="195" spans="1:24" s="113" customFormat="1" x14ac:dyDescent="0.2">
      <c r="A195" s="73">
        <v>125</v>
      </c>
      <c r="B195" s="74">
        <f t="shared" si="22"/>
        <v>0</v>
      </c>
      <c r="C195" s="75">
        <f t="shared" si="23"/>
        <v>0</v>
      </c>
      <c r="D195" s="75">
        <f t="shared" si="24"/>
        <v>159.28389816204339</v>
      </c>
      <c r="E195" s="54">
        <f t="shared" si="29"/>
        <v>159.28389816204339</v>
      </c>
      <c r="F195" s="76">
        <f t="shared" si="42"/>
        <v>23931.735985548094</v>
      </c>
      <c r="G195" s="77">
        <f t="shared" si="41"/>
        <v>325.0289117714949</v>
      </c>
      <c r="H195" s="79">
        <f t="shared" si="30"/>
        <v>40628.613971436884</v>
      </c>
      <c r="I195" s="78">
        <f t="shared" si="25"/>
        <v>165.74501360945152</v>
      </c>
      <c r="J195" s="76">
        <f t="shared" si="31"/>
        <v>55318.472222222219</v>
      </c>
      <c r="K195" s="80">
        <f t="shared" si="26"/>
        <v>106.18926544136225</v>
      </c>
      <c r="L195" s="78">
        <f t="shared" si="32"/>
        <v>6.8111585332906976</v>
      </c>
      <c r="M195" s="59">
        <f t="shared" si="27"/>
        <v>27443.599179323617</v>
      </c>
      <c r="N195" s="80">
        <f t="shared" si="33"/>
        <v>82762.071401545836</v>
      </c>
      <c r="O195" s="54">
        <f t="shared" si="34"/>
        <v>53781.605710865624</v>
      </c>
      <c r="P195" s="54">
        <f t="shared" si="35"/>
        <v>2307.0966013333327</v>
      </c>
      <c r="Q195" s="54">
        <f t="shared" si="36"/>
        <v>382389.7575863126</v>
      </c>
      <c r="R195" s="54">
        <f t="shared" si="37"/>
        <v>248489.85558373091</v>
      </c>
      <c r="S195" s="54">
        <f t="shared" si="38"/>
        <v>299627.68618476676</v>
      </c>
      <c r="T195" s="81">
        <f t="shared" si="39"/>
        <v>194708.24987286527</v>
      </c>
      <c r="U195" s="82">
        <f t="shared" si="40"/>
        <v>2032</v>
      </c>
      <c r="V195" s="414">
        <v>10.4166666666666</v>
      </c>
      <c r="W195" s="185"/>
      <c r="X195" s="185"/>
    </row>
    <row r="196" spans="1:24" s="113" customFormat="1" x14ac:dyDescent="0.2">
      <c r="A196" s="73">
        <v>126</v>
      </c>
      <c r="B196" s="74">
        <f t="shared" si="22"/>
        <v>0</v>
      </c>
      <c r="C196" s="75">
        <f t="shared" si="23"/>
        <v>0</v>
      </c>
      <c r="D196" s="75">
        <f t="shared" si="24"/>
        <v>159.28389816204339</v>
      </c>
      <c r="E196" s="54">
        <f t="shared" si="29"/>
        <v>159.28389816204339</v>
      </c>
      <c r="F196" s="76">
        <f t="shared" si="42"/>
        <v>24091.019883710138</v>
      </c>
      <c r="G196" s="77">
        <f t="shared" si="41"/>
        <v>325.0289117714949</v>
      </c>
      <c r="H196" s="79">
        <f t="shared" si="30"/>
        <v>40953.642883208377</v>
      </c>
      <c r="I196" s="78">
        <f t="shared" si="25"/>
        <v>165.74501360945152</v>
      </c>
      <c r="J196" s="76">
        <f t="shared" si="31"/>
        <v>55318.472222222219</v>
      </c>
      <c r="K196" s="80">
        <f t="shared" si="26"/>
        <v>106.18926544136225</v>
      </c>
      <c r="L196" s="78">
        <f t="shared" si="32"/>
        <v>6.8111585332906976</v>
      </c>
      <c r="M196" s="59">
        <f t="shared" si="27"/>
        <v>27443.599179323617</v>
      </c>
      <c r="N196" s="80">
        <f t="shared" si="33"/>
        <v>82762.071401545836</v>
      </c>
      <c r="O196" s="54">
        <f t="shared" si="34"/>
        <v>53625.198880796626</v>
      </c>
      <c r="P196" s="54">
        <f t="shared" si="35"/>
        <v>2314.1435416666664</v>
      </c>
      <c r="Q196" s="54">
        <f t="shared" si="36"/>
        <v>383557.75280776597</v>
      </c>
      <c r="R196" s="54">
        <f t="shared" si="37"/>
        <v>248523.99690184294</v>
      </c>
      <c r="S196" s="54">
        <f t="shared" si="38"/>
        <v>300795.68140622013</v>
      </c>
      <c r="T196" s="81">
        <f t="shared" si="39"/>
        <v>194898.7980210463</v>
      </c>
      <c r="U196" s="82">
        <f t="shared" si="40"/>
        <v>2032</v>
      </c>
      <c r="V196" s="414">
        <v>10.5</v>
      </c>
      <c r="W196" s="185"/>
      <c r="X196" s="185"/>
    </row>
    <row r="197" spans="1:24" s="113" customFormat="1" x14ac:dyDescent="0.2">
      <c r="A197" s="73">
        <v>127</v>
      </c>
      <c r="B197" s="74">
        <f t="shared" si="22"/>
        <v>0</v>
      </c>
      <c r="C197" s="75">
        <f t="shared" si="23"/>
        <v>0</v>
      </c>
      <c r="D197" s="75">
        <f t="shared" si="24"/>
        <v>159.28389816204339</v>
      </c>
      <c r="E197" s="54">
        <f t="shared" si="29"/>
        <v>159.28389816204339</v>
      </c>
      <c r="F197" s="76">
        <f t="shared" si="42"/>
        <v>24250.303781872182</v>
      </c>
      <c r="G197" s="77">
        <f t="shared" si="41"/>
        <v>325.0289117714949</v>
      </c>
      <c r="H197" s="79">
        <f t="shared" si="30"/>
        <v>41278.671794979869</v>
      </c>
      <c r="I197" s="78">
        <f t="shared" si="25"/>
        <v>165.74501360945152</v>
      </c>
      <c r="J197" s="76">
        <f t="shared" si="31"/>
        <v>55318.472222222219</v>
      </c>
      <c r="K197" s="80">
        <f t="shared" si="26"/>
        <v>106.18926544136225</v>
      </c>
      <c r="L197" s="78">
        <f t="shared" si="32"/>
        <v>6.8111585332906976</v>
      </c>
      <c r="M197" s="59">
        <f t="shared" si="27"/>
        <v>27443.599179323617</v>
      </c>
      <c r="N197" s="80">
        <f t="shared" si="33"/>
        <v>82762.071401545836</v>
      </c>
      <c r="O197" s="54">
        <f t="shared" si="34"/>
        <v>53469.246910640606</v>
      </c>
      <c r="P197" s="54">
        <f t="shared" si="35"/>
        <v>2321.1904819999995</v>
      </c>
      <c r="Q197" s="54">
        <f t="shared" si="36"/>
        <v>384725.74802921928</v>
      </c>
      <c r="R197" s="54">
        <f t="shared" si="37"/>
        <v>248555.83802933915</v>
      </c>
      <c r="S197" s="54">
        <f t="shared" si="38"/>
        <v>301963.67662767344</v>
      </c>
      <c r="T197" s="81">
        <f t="shared" si="39"/>
        <v>195086.59111869853</v>
      </c>
      <c r="U197" s="82">
        <f t="shared" si="40"/>
        <v>2032</v>
      </c>
      <c r="V197" s="414">
        <v>10.5833333333333</v>
      </c>
      <c r="W197" s="185"/>
      <c r="X197" s="185"/>
    </row>
    <row r="198" spans="1:24" s="113" customFormat="1" x14ac:dyDescent="0.2">
      <c r="A198" s="73">
        <v>128</v>
      </c>
      <c r="B198" s="74">
        <f t="shared" si="22"/>
        <v>0</v>
      </c>
      <c r="C198" s="75">
        <f t="shared" si="23"/>
        <v>0</v>
      </c>
      <c r="D198" s="75">
        <f t="shared" si="24"/>
        <v>159.28389816204339</v>
      </c>
      <c r="E198" s="54">
        <f t="shared" si="29"/>
        <v>159.28389816204339</v>
      </c>
      <c r="F198" s="76">
        <f t="shared" si="42"/>
        <v>24409.587680034227</v>
      </c>
      <c r="G198" s="77">
        <f t="shared" si="41"/>
        <v>325.0289117714949</v>
      </c>
      <c r="H198" s="79">
        <f t="shared" si="30"/>
        <v>41603.700706751362</v>
      </c>
      <c r="I198" s="78">
        <f t="shared" si="25"/>
        <v>165.74501360945152</v>
      </c>
      <c r="J198" s="76">
        <f t="shared" si="31"/>
        <v>55318.472222222219</v>
      </c>
      <c r="K198" s="80">
        <f t="shared" si="26"/>
        <v>106.18926544136225</v>
      </c>
      <c r="L198" s="78">
        <f t="shared" si="32"/>
        <v>6.8111585332906976</v>
      </c>
      <c r="M198" s="59">
        <f t="shared" si="27"/>
        <v>27443.599179323617</v>
      </c>
      <c r="N198" s="80">
        <f t="shared" si="33"/>
        <v>82762.071401545836</v>
      </c>
      <c r="O198" s="54">
        <f t="shared" si="34"/>
        <v>53313.748477580979</v>
      </c>
      <c r="P198" s="54">
        <f t="shared" si="35"/>
        <v>2328.2374223333331</v>
      </c>
      <c r="Q198" s="54">
        <f t="shared" si="36"/>
        <v>385893.74325067265</v>
      </c>
      <c r="R198" s="54">
        <f t="shared" si="37"/>
        <v>248585.39205622519</v>
      </c>
      <c r="S198" s="54">
        <f t="shared" si="38"/>
        <v>303131.67184912681</v>
      </c>
      <c r="T198" s="81">
        <f t="shared" si="39"/>
        <v>195271.6435786442</v>
      </c>
      <c r="U198" s="82">
        <f t="shared" si="40"/>
        <v>2032</v>
      </c>
      <c r="V198" s="414">
        <v>10.6666666666666</v>
      </c>
      <c r="W198" s="185"/>
      <c r="X198" s="185"/>
    </row>
    <row r="199" spans="1:24" s="113" customFormat="1" x14ac:dyDescent="0.2">
      <c r="A199" s="73">
        <v>129</v>
      </c>
      <c r="B199" s="74">
        <f t="shared" ref="B199:B262" si="43">IF(A199&lt;=$B$60, ($B$60-A199+1)*$B$61*$B$58, 0)</f>
        <v>0</v>
      </c>
      <c r="C199" s="75">
        <f t="shared" ref="C199:C262" si="44">IF(A199&lt;=$B$60, ($B$60-A199+1)*$B$62*(A199-0.5)*$B$58^2, 0)</f>
        <v>0</v>
      </c>
      <c r="D199" s="75">
        <f t="shared" ref="D199:D262" si="45">IF(A199&lt;=$B$60, $B$62*($B$58^2)*((A199-1)^2)/2, $B$62*($B$58^2)*(($B$60)^2)/2)</f>
        <v>159.28389816204339</v>
      </c>
      <c r="E199" s="54">
        <f t="shared" si="29"/>
        <v>159.28389816204339</v>
      </c>
      <c r="F199" s="76">
        <f t="shared" si="42"/>
        <v>24568.871578196271</v>
      </c>
      <c r="G199" s="77">
        <f t="shared" si="41"/>
        <v>325.0289117714949</v>
      </c>
      <c r="H199" s="79">
        <f t="shared" si="30"/>
        <v>41928.729618522855</v>
      </c>
      <c r="I199" s="78">
        <f t="shared" ref="I199:I262" si="46">G199-E199</f>
        <v>165.74501360945152</v>
      </c>
      <c r="J199" s="76">
        <f t="shared" si="31"/>
        <v>55318.472222222219</v>
      </c>
      <c r="K199" s="80">
        <f t="shared" ref="K199:K262" si="47">IF(A199&lt;=$B$60,$B$29/$B$60+A199*$B$58*$B$62,$B$62*$B$58*$B$60)</f>
        <v>106.18926544136225</v>
      </c>
      <c r="L199" s="78">
        <f t="shared" si="32"/>
        <v>6.8111585332906976</v>
      </c>
      <c r="M199" s="59">
        <f t="shared" ref="M199:M262" si="48">(K199/$B$29/$B$50)*($B$35*$B$51+$B$38*$B$52)</f>
        <v>27443.599179323617</v>
      </c>
      <c r="N199" s="80">
        <f t="shared" si="33"/>
        <v>82762.071401545836</v>
      </c>
      <c r="O199" s="54">
        <f t="shared" si="34"/>
        <v>53158.702262648265</v>
      </c>
      <c r="P199" s="54">
        <f t="shared" si="35"/>
        <v>2335.2843626666663</v>
      </c>
      <c r="Q199" s="54">
        <f t="shared" si="36"/>
        <v>387061.7384721259</v>
      </c>
      <c r="R199" s="54">
        <f t="shared" si="37"/>
        <v>248612.67201582459</v>
      </c>
      <c r="S199" s="54">
        <f t="shared" si="38"/>
        <v>304299.66707058006</v>
      </c>
      <c r="T199" s="81">
        <f t="shared" si="39"/>
        <v>195453.96975317632</v>
      </c>
      <c r="U199" s="82">
        <f t="shared" si="40"/>
        <v>2032</v>
      </c>
      <c r="V199" s="414">
        <v>10.75</v>
      </c>
      <c r="W199" s="185"/>
      <c r="X199" s="185"/>
    </row>
    <row r="200" spans="1:24" s="113" customFormat="1" x14ac:dyDescent="0.2">
      <c r="A200" s="73">
        <v>130</v>
      </c>
      <c r="B200" s="74">
        <f t="shared" si="43"/>
        <v>0</v>
      </c>
      <c r="C200" s="75">
        <f t="shared" si="44"/>
        <v>0</v>
      </c>
      <c r="D200" s="75">
        <f t="shared" si="45"/>
        <v>159.28389816204339</v>
      </c>
      <c r="E200" s="54">
        <f t="shared" ref="E200:E263" si="49">SUM(B200:D200)</f>
        <v>159.28389816204339</v>
      </c>
      <c r="F200" s="76">
        <f t="shared" si="42"/>
        <v>24728.155476358315</v>
      </c>
      <c r="G200" s="77">
        <f t="shared" si="41"/>
        <v>325.0289117714949</v>
      </c>
      <c r="H200" s="79">
        <f t="shared" ref="H200:H263" si="50">G200+H199</f>
        <v>42253.758530294348</v>
      </c>
      <c r="I200" s="78">
        <f t="shared" si="46"/>
        <v>165.74501360945152</v>
      </c>
      <c r="J200" s="76">
        <f t="shared" ref="J200:J263" si="51">$B$63</f>
        <v>55318.472222222219</v>
      </c>
      <c r="K200" s="80">
        <f t="shared" si="47"/>
        <v>106.18926544136225</v>
      </c>
      <c r="L200" s="78">
        <f t="shared" ref="L200:L263" si="52">K200/$B$29*($B$35+$B$38)</f>
        <v>6.8111585332906976</v>
      </c>
      <c r="M200" s="59">
        <f t="shared" si="48"/>
        <v>27443.599179323617</v>
      </c>
      <c r="N200" s="80">
        <f t="shared" ref="N200:N263" si="53">J200+M200</f>
        <v>82762.071401545836</v>
      </c>
      <c r="O200" s="54">
        <f t="shared" ref="O200:O263" si="54">N200/((1+$B$41*$B$58)^((24+A200-1)))</f>
        <v>53004.106950708687</v>
      </c>
      <c r="P200" s="54">
        <f t="shared" ref="P200:P263" si="55">$P$71*(1+$B$44*(A200-1)*$B$58)</f>
        <v>2342.3313029999999</v>
      </c>
      <c r="Q200" s="54">
        <f t="shared" ref="Q200:Q263" si="56">(G200-E200)*P200</f>
        <v>388229.73369357927</v>
      </c>
      <c r="R200" s="54">
        <f t="shared" ref="R200:R263" si="57">Q200/((1+$B$41*$B$58)^((24+A200-1)))</f>
        <v>248637.69088499728</v>
      </c>
      <c r="S200" s="54">
        <f t="shared" ref="S200:S263" si="58">Q200-N200</f>
        <v>305467.66229203343</v>
      </c>
      <c r="T200" s="81">
        <f t="shared" ref="T200:T263" si="59">S200/((1+$B$41*$B$58)^((24+A200-1)))</f>
        <v>195633.58393428859</v>
      </c>
      <c r="U200" s="82">
        <f t="shared" ref="U200:U263" si="60">IF(MOD(A199,12)=0,U199+1,U199)</f>
        <v>2032</v>
      </c>
      <c r="V200" s="414">
        <v>10.8333333333333</v>
      </c>
      <c r="W200" s="185"/>
      <c r="X200" s="185"/>
    </row>
    <row r="201" spans="1:24" s="113" customFormat="1" x14ac:dyDescent="0.2">
      <c r="A201" s="73">
        <v>131</v>
      </c>
      <c r="B201" s="74">
        <f t="shared" si="43"/>
        <v>0</v>
      </c>
      <c r="C201" s="75">
        <f t="shared" si="44"/>
        <v>0</v>
      </c>
      <c r="D201" s="75">
        <f t="shared" si="45"/>
        <v>159.28389816204339</v>
      </c>
      <c r="E201" s="54">
        <f t="shared" si="49"/>
        <v>159.28389816204339</v>
      </c>
      <c r="F201" s="76">
        <f t="shared" si="42"/>
        <v>24887.43937452036</v>
      </c>
      <c r="G201" s="77">
        <f t="shared" ref="G201:G264" si="61">G200</f>
        <v>325.0289117714949</v>
      </c>
      <c r="H201" s="79">
        <f t="shared" si="50"/>
        <v>42578.787442065841</v>
      </c>
      <c r="I201" s="78">
        <f t="shared" si="46"/>
        <v>165.74501360945152</v>
      </c>
      <c r="J201" s="76">
        <f t="shared" si="51"/>
        <v>55318.472222222219</v>
      </c>
      <c r="K201" s="80">
        <f t="shared" si="47"/>
        <v>106.18926544136225</v>
      </c>
      <c r="L201" s="78">
        <f t="shared" si="52"/>
        <v>6.8111585332906976</v>
      </c>
      <c r="M201" s="59">
        <f t="shared" si="48"/>
        <v>27443.599179323617</v>
      </c>
      <c r="N201" s="80">
        <f t="shared" si="53"/>
        <v>82762.071401545836</v>
      </c>
      <c r="O201" s="54">
        <f t="shared" si="54"/>
        <v>52849.961230453206</v>
      </c>
      <c r="P201" s="54">
        <f t="shared" si="55"/>
        <v>2349.3782433333331</v>
      </c>
      <c r="Q201" s="54">
        <f t="shared" si="56"/>
        <v>389397.72891503258</v>
      </c>
      <c r="R201" s="54">
        <f t="shared" si="57"/>
        <v>248660.46158435821</v>
      </c>
      <c r="S201" s="54">
        <f t="shared" si="58"/>
        <v>306635.65751348675</v>
      </c>
      <c r="T201" s="81">
        <f t="shared" si="59"/>
        <v>195810.50035390499</v>
      </c>
      <c r="U201" s="82">
        <f t="shared" si="60"/>
        <v>2032</v>
      </c>
      <c r="V201" s="414">
        <v>10.9166666666666</v>
      </c>
      <c r="W201" s="185"/>
      <c r="X201" s="185"/>
    </row>
    <row r="202" spans="1:24" s="113" customFormat="1" x14ac:dyDescent="0.2">
      <c r="A202" s="73">
        <v>132</v>
      </c>
      <c r="B202" s="74">
        <f t="shared" si="43"/>
        <v>0</v>
      </c>
      <c r="C202" s="75">
        <f t="shared" si="44"/>
        <v>0</v>
      </c>
      <c r="D202" s="75">
        <f t="shared" si="45"/>
        <v>159.28389816204339</v>
      </c>
      <c r="E202" s="54">
        <f t="shared" si="49"/>
        <v>159.28389816204339</v>
      </c>
      <c r="F202" s="76">
        <f t="shared" ref="F202:F265" si="62">E202+F201</f>
        <v>25046.723272682404</v>
      </c>
      <c r="G202" s="77">
        <f t="shared" si="61"/>
        <v>325.0289117714949</v>
      </c>
      <c r="H202" s="79">
        <f t="shared" si="50"/>
        <v>42903.816353837334</v>
      </c>
      <c r="I202" s="78">
        <f t="shared" si="46"/>
        <v>165.74501360945152</v>
      </c>
      <c r="J202" s="76">
        <f t="shared" si="51"/>
        <v>55318.472222222219</v>
      </c>
      <c r="K202" s="80">
        <f t="shared" si="47"/>
        <v>106.18926544136225</v>
      </c>
      <c r="L202" s="78">
        <f t="shared" si="52"/>
        <v>6.8111585332906976</v>
      </c>
      <c r="M202" s="59">
        <f t="shared" si="48"/>
        <v>27443.599179323617</v>
      </c>
      <c r="N202" s="80">
        <f t="shared" si="53"/>
        <v>82762.071401545836</v>
      </c>
      <c r="O202" s="54">
        <f t="shared" si="54"/>
        <v>52696.263794386236</v>
      </c>
      <c r="P202" s="54">
        <f t="shared" si="55"/>
        <v>2356.4251836666663</v>
      </c>
      <c r="Q202" s="54">
        <f t="shared" si="56"/>
        <v>390565.72413648589</v>
      </c>
      <c r="R202" s="54">
        <f t="shared" si="57"/>
        <v>248680.99697849422</v>
      </c>
      <c r="S202" s="54">
        <f t="shared" si="58"/>
        <v>307803.65273494006</v>
      </c>
      <c r="T202" s="81">
        <f t="shared" si="59"/>
        <v>195984.73318410799</v>
      </c>
      <c r="U202" s="82">
        <f t="shared" si="60"/>
        <v>2032</v>
      </c>
      <c r="V202" s="414">
        <v>11</v>
      </c>
      <c r="W202" s="185"/>
      <c r="X202" s="185"/>
    </row>
    <row r="203" spans="1:24" s="113" customFormat="1" x14ac:dyDescent="0.2">
      <c r="A203" s="73">
        <v>133</v>
      </c>
      <c r="B203" s="74">
        <f t="shared" si="43"/>
        <v>0</v>
      </c>
      <c r="C203" s="75">
        <f t="shared" si="44"/>
        <v>0</v>
      </c>
      <c r="D203" s="75">
        <f t="shared" si="45"/>
        <v>159.28389816204339</v>
      </c>
      <c r="E203" s="54">
        <f t="shared" si="49"/>
        <v>159.28389816204339</v>
      </c>
      <c r="F203" s="76">
        <f t="shared" si="62"/>
        <v>25206.007170844448</v>
      </c>
      <c r="G203" s="77">
        <f t="shared" si="61"/>
        <v>325.0289117714949</v>
      </c>
      <c r="H203" s="79">
        <f t="shared" si="50"/>
        <v>43228.845265608827</v>
      </c>
      <c r="I203" s="78">
        <f t="shared" si="46"/>
        <v>165.74501360945152</v>
      </c>
      <c r="J203" s="76">
        <f t="shared" si="51"/>
        <v>55318.472222222219</v>
      </c>
      <c r="K203" s="80">
        <f t="shared" si="47"/>
        <v>106.18926544136225</v>
      </c>
      <c r="L203" s="78">
        <f t="shared" si="52"/>
        <v>6.8111585332906976</v>
      </c>
      <c r="M203" s="59">
        <f t="shared" si="48"/>
        <v>27443.599179323617</v>
      </c>
      <c r="N203" s="80">
        <f t="shared" si="53"/>
        <v>82762.071401545836</v>
      </c>
      <c r="O203" s="54">
        <f t="shared" si="54"/>
        <v>52543.013338814701</v>
      </c>
      <c r="P203" s="54">
        <f t="shared" si="55"/>
        <v>2363.4721239999999</v>
      </c>
      <c r="Q203" s="54">
        <f t="shared" si="56"/>
        <v>391733.71935793926</v>
      </c>
      <c r="R203" s="54">
        <f t="shared" si="57"/>
        <v>248699.30987618136</v>
      </c>
      <c r="S203" s="54">
        <f t="shared" si="58"/>
        <v>308971.64795639343</v>
      </c>
      <c r="T203" s="81">
        <f t="shared" si="59"/>
        <v>196156.29653736667</v>
      </c>
      <c r="U203" s="376">
        <f t="shared" si="60"/>
        <v>2033</v>
      </c>
      <c r="V203" s="414">
        <v>11.0833333333333</v>
      </c>
      <c r="W203" s="185"/>
      <c r="X203" s="185"/>
    </row>
    <row r="204" spans="1:24" s="113" customFormat="1" x14ac:dyDescent="0.2">
      <c r="A204" s="73">
        <v>134</v>
      </c>
      <c r="B204" s="74">
        <f t="shared" si="43"/>
        <v>0</v>
      </c>
      <c r="C204" s="75">
        <f t="shared" si="44"/>
        <v>0</v>
      </c>
      <c r="D204" s="75">
        <f t="shared" si="45"/>
        <v>159.28389816204339</v>
      </c>
      <c r="E204" s="54">
        <f t="shared" si="49"/>
        <v>159.28389816204339</v>
      </c>
      <c r="F204" s="76">
        <f t="shared" si="62"/>
        <v>25365.291069006493</v>
      </c>
      <c r="G204" s="77">
        <f t="shared" si="61"/>
        <v>325.0289117714949</v>
      </c>
      <c r="H204" s="79">
        <f t="shared" si="50"/>
        <v>43553.874177380319</v>
      </c>
      <c r="I204" s="78">
        <f t="shared" si="46"/>
        <v>165.74501360945152</v>
      </c>
      <c r="J204" s="76">
        <f t="shared" si="51"/>
        <v>55318.472222222219</v>
      </c>
      <c r="K204" s="80">
        <f t="shared" si="47"/>
        <v>106.18926544136225</v>
      </c>
      <c r="L204" s="78">
        <f t="shared" si="52"/>
        <v>6.8111585332906976</v>
      </c>
      <c r="M204" s="59">
        <f t="shared" si="48"/>
        <v>27443.599179323617</v>
      </c>
      <c r="N204" s="80">
        <f t="shared" si="53"/>
        <v>82762.071401545836</v>
      </c>
      <c r="O204" s="54">
        <f t="shared" si="54"/>
        <v>52390.208563836837</v>
      </c>
      <c r="P204" s="54">
        <f t="shared" si="55"/>
        <v>2370.5190643333326</v>
      </c>
      <c r="Q204" s="54">
        <f t="shared" si="56"/>
        <v>392901.71457939252</v>
      </c>
      <c r="R204" s="54">
        <f t="shared" si="57"/>
        <v>248715.41303059983</v>
      </c>
      <c r="S204" s="54">
        <f t="shared" si="58"/>
        <v>310139.64317784668</v>
      </c>
      <c r="T204" s="81">
        <f t="shared" si="59"/>
        <v>196325.20446676298</v>
      </c>
      <c r="U204" s="82">
        <f t="shared" si="60"/>
        <v>2033</v>
      </c>
      <c r="V204" s="414">
        <v>11.1666666666666</v>
      </c>
      <c r="W204" s="185"/>
      <c r="X204" s="185"/>
    </row>
    <row r="205" spans="1:24" s="113" customFormat="1" x14ac:dyDescent="0.2">
      <c r="A205" s="73">
        <v>135</v>
      </c>
      <c r="B205" s="74">
        <f t="shared" si="43"/>
        <v>0</v>
      </c>
      <c r="C205" s="75">
        <f t="shared" si="44"/>
        <v>0</v>
      </c>
      <c r="D205" s="75">
        <f t="shared" si="45"/>
        <v>159.28389816204339</v>
      </c>
      <c r="E205" s="54">
        <f t="shared" si="49"/>
        <v>159.28389816204339</v>
      </c>
      <c r="F205" s="76">
        <f t="shared" si="62"/>
        <v>25524.574967168537</v>
      </c>
      <c r="G205" s="77">
        <f t="shared" si="61"/>
        <v>325.0289117714949</v>
      </c>
      <c r="H205" s="79">
        <f t="shared" si="50"/>
        <v>43878.903089151812</v>
      </c>
      <c r="I205" s="78">
        <f t="shared" si="46"/>
        <v>165.74501360945152</v>
      </c>
      <c r="J205" s="76">
        <f t="shared" si="51"/>
        <v>55318.472222222219</v>
      </c>
      <c r="K205" s="80">
        <f t="shared" si="47"/>
        <v>106.18926544136225</v>
      </c>
      <c r="L205" s="78">
        <f t="shared" si="52"/>
        <v>6.8111585332906976</v>
      </c>
      <c r="M205" s="59">
        <f t="shared" si="48"/>
        <v>27443.599179323617</v>
      </c>
      <c r="N205" s="80">
        <f t="shared" si="53"/>
        <v>82762.071401545836</v>
      </c>
      <c r="O205" s="54">
        <f t="shared" si="54"/>
        <v>52237.848173331295</v>
      </c>
      <c r="P205" s="54">
        <f t="shared" si="55"/>
        <v>2377.5660046666667</v>
      </c>
      <c r="Q205" s="54">
        <f t="shared" si="56"/>
        <v>394069.70980084594</v>
      </c>
      <c r="R205" s="54">
        <f t="shared" si="57"/>
        <v>248729.31913954995</v>
      </c>
      <c r="S205" s="54">
        <f t="shared" si="58"/>
        <v>311307.63839930011</v>
      </c>
      <c r="T205" s="81">
        <f t="shared" si="59"/>
        <v>196491.47096621865</v>
      </c>
      <c r="U205" s="82">
        <f t="shared" si="60"/>
        <v>2033</v>
      </c>
      <c r="V205" s="414">
        <v>11.25</v>
      </c>
      <c r="W205" s="185"/>
      <c r="X205" s="185"/>
    </row>
    <row r="206" spans="1:24" s="113" customFormat="1" x14ac:dyDescent="0.2">
      <c r="A206" s="73">
        <v>136</v>
      </c>
      <c r="B206" s="74">
        <f t="shared" si="43"/>
        <v>0</v>
      </c>
      <c r="C206" s="75">
        <f t="shared" si="44"/>
        <v>0</v>
      </c>
      <c r="D206" s="75">
        <f t="shared" si="45"/>
        <v>159.28389816204339</v>
      </c>
      <c r="E206" s="54">
        <f t="shared" si="49"/>
        <v>159.28389816204339</v>
      </c>
      <c r="F206" s="76">
        <f t="shared" si="62"/>
        <v>25683.858865330581</v>
      </c>
      <c r="G206" s="77">
        <f t="shared" si="61"/>
        <v>325.0289117714949</v>
      </c>
      <c r="H206" s="79">
        <f t="shared" si="50"/>
        <v>44203.932000923305</v>
      </c>
      <c r="I206" s="78">
        <f t="shared" si="46"/>
        <v>165.74501360945152</v>
      </c>
      <c r="J206" s="76">
        <f t="shared" si="51"/>
        <v>55318.472222222219</v>
      </c>
      <c r="K206" s="80">
        <f t="shared" si="47"/>
        <v>106.18926544136225</v>
      </c>
      <c r="L206" s="78">
        <f t="shared" si="52"/>
        <v>6.8111585332906976</v>
      </c>
      <c r="M206" s="59">
        <f t="shared" si="48"/>
        <v>27443.599179323617</v>
      </c>
      <c r="N206" s="80">
        <f t="shared" si="53"/>
        <v>82762.071401545836</v>
      </c>
      <c r="O206" s="54">
        <f t="shared" si="54"/>
        <v>52085.930874946018</v>
      </c>
      <c r="P206" s="54">
        <f t="shared" si="55"/>
        <v>2384.6129449999994</v>
      </c>
      <c r="Q206" s="54">
        <f t="shared" si="56"/>
        <v>395237.70502229914</v>
      </c>
      <c r="R206" s="54">
        <f t="shared" si="57"/>
        <v>248741.04084566524</v>
      </c>
      <c r="S206" s="54">
        <f t="shared" si="58"/>
        <v>312475.6336207533</v>
      </c>
      <c r="T206" s="81">
        <f t="shared" si="59"/>
        <v>196655.10997071923</v>
      </c>
      <c r="U206" s="82">
        <f t="shared" si="60"/>
        <v>2033</v>
      </c>
      <c r="V206" s="414">
        <v>11.3333333333333</v>
      </c>
      <c r="W206" s="185"/>
      <c r="X206" s="185"/>
    </row>
    <row r="207" spans="1:24" s="113" customFormat="1" x14ac:dyDescent="0.2">
      <c r="A207" s="73">
        <v>137</v>
      </c>
      <c r="B207" s="74">
        <f t="shared" si="43"/>
        <v>0</v>
      </c>
      <c r="C207" s="75">
        <f t="shared" si="44"/>
        <v>0</v>
      </c>
      <c r="D207" s="75">
        <f t="shared" si="45"/>
        <v>159.28389816204339</v>
      </c>
      <c r="E207" s="54">
        <f t="shared" si="49"/>
        <v>159.28389816204339</v>
      </c>
      <c r="F207" s="76">
        <f t="shared" si="62"/>
        <v>25843.142763492626</v>
      </c>
      <c r="G207" s="77">
        <f t="shared" si="61"/>
        <v>325.0289117714949</v>
      </c>
      <c r="H207" s="79">
        <f t="shared" si="50"/>
        <v>44528.960912694798</v>
      </c>
      <c r="I207" s="78">
        <f t="shared" si="46"/>
        <v>165.74501360945152</v>
      </c>
      <c r="J207" s="76">
        <f t="shared" si="51"/>
        <v>55318.472222222219</v>
      </c>
      <c r="K207" s="80">
        <f t="shared" si="47"/>
        <v>106.18926544136225</v>
      </c>
      <c r="L207" s="78">
        <f t="shared" si="52"/>
        <v>6.8111585332906976</v>
      </c>
      <c r="M207" s="59">
        <f t="shared" si="48"/>
        <v>27443.599179323617</v>
      </c>
      <c r="N207" s="80">
        <f t="shared" si="53"/>
        <v>82762.071401545836</v>
      </c>
      <c r="O207" s="54">
        <f t="shared" si="54"/>
        <v>51934.455380087449</v>
      </c>
      <c r="P207" s="54">
        <f t="shared" si="55"/>
        <v>2391.659885333333</v>
      </c>
      <c r="Q207" s="54">
        <f t="shared" si="56"/>
        <v>396405.70024375257</v>
      </c>
      <c r="R207" s="54">
        <f t="shared" si="57"/>
        <v>248750.59073662772</v>
      </c>
      <c r="S207" s="54">
        <f t="shared" si="58"/>
        <v>313643.62884220673</v>
      </c>
      <c r="T207" s="81">
        <f t="shared" si="59"/>
        <v>196816.13535654027</v>
      </c>
      <c r="U207" s="82">
        <f t="shared" si="60"/>
        <v>2033</v>
      </c>
      <c r="V207" s="414">
        <v>11.4166666666666</v>
      </c>
      <c r="W207" s="185"/>
      <c r="X207" s="185"/>
    </row>
    <row r="208" spans="1:24" s="113" customFormat="1" x14ac:dyDescent="0.2">
      <c r="A208" s="73">
        <v>138</v>
      </c>
      <c r="B208" s="74">
        <f t="shared" si="43"/>
        <v>0</v>
      </c>
      <c r="C208" s="75">
        <f t="shared" si="44"/>
        <v>0</v>
      </c>
      <c r="D208" s="75">
        <f t="shared" si="45"/>
        <v>159.28389816204339</v>
      </c>
      <c r="E208" s="54">
        <f t="shared" si="49"/>
        <v>159.28389816204339</v>
      </c>
      <c r="F208" s="76">
        <f t="shared" si="62"/>
        <v>26002.42666165467</v>
      </c>
      <c r="G208" s="77">
        <f t="shared" si="61"/>
        <v>325.0289117714949</v>
      </c>
      <c r="H208" s="79">
        <f t="shared" si="50"/>
        <v>44853.989824466291</v>
      </c>
      <c r="I208" s="78">
        <f t="shared" si="46"/>
        <v>165.74501360945152</v>
      </c>
      <c r="J208" s="76">
        <f t="shared" si="51"/>
        <v>55318.472222222219</v>
      </c>
      <c r="K208" s="80">
        <f t="shared" si="47"/>
        <v>106.18926544136225</v>
      </c>
      <c r="L208" s="78">
        <f t="shared" si="52"/>
        <v>6.8111585332906976</v>
      </c>
      <c r="M208" s="59">
        <f t="shared" si="48"/>
        <v>27443.599179323617</v>
      </c>
      <c r="N208" s="80">
        <f t="shared" si="53"/>
        <v>82762.071401545836</v>
      </c>
      <c r="O208" s="54">
        <f t="shared" si="54"/>
        <v>51783.420403909382</v>
      </c>
      <c r="P208" s="54">
        <f t="shared" si="55"/>
        <v>2398.7068256666662</v>
      </c>
      <c r="Q208" s="54">
        <f t="shared" si="56"/>
        <v>397573.69546520582</v>
      </c>
      <c r="R208" s="54">
        <f t="shared" si="57"/>
        <v>248757.98134537815</v>
      </c>
      <c r="S208" s="54">
        <f t="shared" si="58"/>
        <v>314811.62406365998</v>
      </c>
      <c r="T208" s="81">
        <f t="shared" si="59"/>
        <v>196974.56094146878</v>
      </c>
      <c r="U208" s="82">
        <f t="shared" si="60"/>
        <v>2033</v>
      </c>
      <c r="V208" s="414">
        <v>11.5</v>
      </c>
      <c r="W208" s="185"/>
      <c r="X208" s="185"/>
    </row>
    <row r="209" spans="1:24" s="113" customFormat="1" x14ac:dyDescent="0.2">
      <c r="A209" s="73">
        <v>139</v>
      </c>
      <c r="B209" s="74">
        <f t="shared" si="43"/>
        <v>0</v>
      </c>
      <c r="C209" s="75">
        <f t="shared" si="44"/>
        <v>0</v>
      </c>
      <c r="D209" s="75">
        <f t="shared" si="45"/>
        <v>159.28389816204339</v>
      </c>
      <c r="E209" s="54">
        <f t="shared" si="49"/>
        <v>159.28389816204339</v>
      </c>
      <c r="F209" s="76">
        <f t="shared" si="62"/>
        <v>26161.710559816715</v>
      </c>
      <c r="G209" s="77">
        <f t="shared" si="61"/>
        <v>325.0289117714949</v>
      </c>
      <c r="H209" s="79">
        <f t="shared" si="50"/>
        <v>45179.018736237784</v>
      </c>
      <c r="I209" s="78">
        <f t="shared" si="46"/>
        <v>165.74501360945152</v>
      </c>
      <c r="J209" s="76">
        <f t="shared" si="51"/>
        <v>55318.472222222219</v>
      </c>
      <c r="K209" s="80">
        <f t="shared" si="47"/>
        <v>106.18926544136225</v>
      </c>
      <c r="L209" s="78">
        <f t="shared" si="52"/>
        <v>6.8111585332906976</v>
      </c>
      <c r="M209" s="59">
        <f t="shared" si="48"/>
        <v>27443.599179323617</v>
      </c>
      <c r="N209" s="80">
        <f t="shared" si="53"/>
        <v>82762.071401545836</v>
      </c>
      <c r="O209" s="54">
        <f t="shared" si="54"/>
        <v>51632.824665302251</v>
      </c>
      <c r="P209" s="54">
        <f t="shared" si="55"/>
        <v>2405.7537659999994</v>
      </c>
      <c r="Q209" s="54">
        <f t="shared" si="56"/>
        <v>398741.69068665913</v>
      </c>
      <c r="R209" s="54">
        <f t="shared" si="57"/>
        <v>248763.22515033025</v>
      </c>
      <c r="S209" s="54">
        <f t="shared" si="58"/>
        <v>315979.61928511329</v>
      </c>
      <c r="T209" s="81">
        <f t="shared" si="59"/>
        <v>197130.40048502799</v>
      </c>
      <c r="U209" s="82">
        <f t="shared" si="60"/>
        <v>2033</v>
      </c>
      <c r="V209" s="414">
        <v>11.5833333333333</v>
      </c>
      <c r="W209" s="185"/>
      <c r="X209" s="185"/>
    </row>
    <row r="210" spans="1:24" s="113" customFormat="1" x14ac:dyDescent="0.2">
      <c r="A210" s="73">
        <v>140</v>
      </c>
      <c r="B210" s="74">
        <f t="shared" si="43"/>
        <v>0</v>
      </c>
      <c r="C210" s="75">
        <f t="shared" si="44"/>
        <v>0</v>
      </c>
      <c r="D210" s="75">
        <f t="shared" si="45"/>
        <v>159.28389816204339</v>
      </c>
      <c r="E210" s="54">
        <f t="shared" si="49"/>
        <v>159.28389816204339</v>
      </c>
      <c r="F210" s="76">
        <f t="shared" si="62"/>
        <v>26320.994457978759</v>
      </c>
      <c r="G210" s="77">
        <f t="shared" si="61"/>
        <v>325.0289117714949</v>
      </c>
      <c r="H210" s="79">
        <f t="shared" si="50"/>
        <v>45504.047648009277</v>
      </c>
      <c r="I210" s="78">
        <f t="shared" si="46"/>
        <v>165.74501360945152</v>
      </c>
      <c r="J210" s="76">
        <f t="shared" si="51"/>
        <v>55318.472222222219</v>
      </c>
      <c r="K210" s="80">
        <f t="shared" si="47"/>
        <v>106.18926544136225</v>
      </c>
      <c r="L210" s="78">
        <f t="shared" si="52"/>
        <v>6.8111585332906976</v>
      </c>
      <c r="M210" s="59">
        <f t="shared" si="48"/>
        <v>27443.599179323617</v>
      </c>
      <c r="N210" s="80">
        <f t="shared" si="53"/>
        <v>82762.071401545836</v>
      </c>
      <c r="O210" s="54">
        <f t="shared" si="54"/>
        <v>51482.666886882173</v>
      </c>
      <c r="P210" s="54">
        <f t="shared" si="55"/>
        <v>2412.800706333333</v>
      </c>
      <c r="Q210" s="54">
        <f t="shared" si="56"/>
        <v>399909.6859081125</v>
      </c>
      <c r="R210" s="54">
        <f t="shared" si="57"/>
        <v>248766.33457558052</v>
      </c>
      <c r="S210" s="54">
        <f t="shared" si="58"/>
        <v>317147.61450656666</v>
      </c>
      <c r="T210" s="81">
        <f t="shared" si="59"/>
        <v>197283.66768869833</v>
      </c>
      <c r="U210" s="82">
        <f t="shared" si="60"/>
        <v>2033</v>
      </c>
      <c r="V210" s="414">
        <v>11.6666666666666</v>
      </c>
      <c r="W210" s="185"/>
      <c r="X210" s="185"/>
    </row>
    <row r="211" spans="1:24" s="113" customFormat="1" x14ac:dyDescent="0.2">
      <c r="A211" s="73">
        <v>141</v>
      </c>
      <c r="B211" s="74">
        <f t="shared" si="43"/>
        <v>0</v>
      </c>
      <c r="C211" s="75">
        <f t="shared" si="44"/>
        <v>0</v>
      </c>
      <c r="D211" s="75">
        <f t="shared" si="45"/>
        <v>159.28389816204339</v>
      </c>
      <c r="E211" s="54">
        <f t="shared" si="49"/>
        <v>159.28389816204339</v>
      </c>
      <c r="F211" s="76">
        <f t="shared" si="62"/>
        <v>26480.278356140803</v>
      </c>
      <c r="G211" s="77">
        <f t="shared" si="61"/>
        <v>325.0289117714949</v>
      </c>
      <c r="H211" s="79">
        <f t="shared" si="50"/>
        <v>45829.076559780769</v>
      </c>
      <c r="I211" s="78">
        <f t="shared" si="46"/>
        <v>165.74501360945152</v>
      </c>
      <c r="J211" s="76">
        <f t="shared" si="51"/>
        <v>55318.472222222219</v>
      </c>
      <c r="K211" s="80">
        <f t="shared" si="47"/>
        <v>106.18926544136225</v>
      </c>
      <c r="L211" s="78">
        <f t="shared" si="52"/>
        <v>6.8111585332906976</v>
      </c>
      <c r="M211" s="59">
        <f t="shared" si="48"/>
        <v>27443.599179323617</v>
      </c>
      <c r="N211" s="80">
        <f t="shared" si="53"/>
        <v>82762.071401545836</v>
      </c>
      <c r="O211" s="54">
        <f t="shared" si="54"/>
        <v>51332.945794980151</v>
      </c>
      <c r="P211" s="54">
        <f t="shared" si="55"/>
        <v>2419.8476466666662</v>
      </c>
      <c r="Q211" s="54">
        <f t="shared" si="56"/>
        <v>401077.68112956581</v>
      </c>
      <c r="R211" s="54">
        <f t="shared" si="57"/>
        <v>248767.32199111901</v>
      </c>
      <c r="S211" s="54">
        <f t="shared" si="58"/>
        <v>318315.60972801998</v>
      </c>
      <c r="T211" s="81">
        <f t="shared" si="59"/>
        <v>197434.37619613885</v>
      </c>
      <c r="U211" s="82">
        <f t="shared" si="60"/>
        <v>2033</v>
      </c>
      <c r="V211" s="414">
        <v>11.75</v>
      </c>
      <c r="W211" s="185"/>
      <c r="X211" s="185"/>
    </row>
    <row r="212" spans="1:24" s="113" customFormat="1" x14ac:dyDescent="0.2">
      <c r="A212" s="73">
        <v>142</v>
      </c>
      <c r="B212" s="74">
        <f t="shared" si="43"/>
        <v>0</v>
      </c>
      <c r="C212" s="75">
        <f t="shared" si="44"/>
        <v>0</v>
      </c>
      <c r="D212" s="75">
        <f t="shared" si="45"/>
        <v>159.28389816204339</v>
      </c>
      <c r="E212" s="54">
        <f t="shared" si="49"/>
        <v>159.28389816204339</v>
      </c>
      <c r="F212" s="76">
        <f t="shared" si="62"/>
        <v>26639.562254302848</v>
      </c>
      <c r="G212" s="77">
        <f t="shared" si="61"/>
        <v>325.0289117714949</v>
      </c>
      <c r="H212" s="79">
        <f t="shared" si="50"/>
        <v>46154.105471552262</v>
      </c>
      <c r="I212" s="78">
        <f t="shared" si="46"/>
        <v>165.74501360945152</v>
      </c>
      <c r="J212" s="76">
        <f t="shared" si="51"/>
        <v>55318.472222222219</v>
      </c>
      <c r="K212" s="80">
        <f t="shared" si="47"/>
        <v>106.18926544136225</v>
      </c>
      <c r="L212" s="78">
        <f t="shared" si="52"/>
        <v>6.8111585332906976</v>
      </c>
      <c r="M212" s="59">
        <f t="shared" si="48"/>
        <v>27443.599179323617</v>
      </c>
      <c r="N212" s="80">
        <f t="shared" si="53"/>
        <v>82762.071401545836</v>
      </c>
      <c r="O212" s="54">
        <f t="shared" si="54"/>
        <v>51183.660119631233</v>
      </c>
      <c r="P212" s="54">
        <f t="shared" si="55"/>
        <v>2426.8945869999998</v>
      </c>
      <c r="Q212" s="54">
        <f t="shared" si="56"/>
        <v>402245.67635101918</v>
      </c>
      <c r="R212" s="54">
        <f t="shared" si="57"/>
        <v>248766.1997130391</v>
      </c>
      <c r="S212" s="54">
        <f t="shared" si="58"/>
        <v>319483.60494947335</v>
      </c>
      <c r="T212" s="81">
        <f t="shared" si="59"/>
        <v>197582.53959340786</v>
      </c>
      <c r="U212" s="82">
        <f t="shared" si="60"/>
        <v>2033</v>
      </c>
      <c r="V212" s="414">
        <v>11.8333333333333</v>
      </c>
      <c r="W212" s="185"/>
      <c r="X212" s="185"/>
    </row>
    <row r="213" spans="1:24" s="113" customFormat="1" x14ac:dyDescent="0.2">
      <c r="A213" s="73">
        <v>143</v>
      </c>
      <c r="B213" s="74">
        <f t="shared" si="43"/>
        <v>0</v>
      </c>
      <c r="C213" s="75">
        <f t="shared" si="44"/>
        <v>0</v>
      </c>
      <c r="D213" s="75">
        <f t="shared" si="45"/>
        <v>159.28389816204339</v>
      </c>
      <c r="E213" s="54">
        <f t="shared" si="49"/>
        <v>159.28389816204339</v>
      </c>
      <c r="F213" s="76">
        <f t="shared" si="62"/>
        <v>26798.846152464892</v>
      </c>
      <c r="G213" s="77">
        <f t="shared" si="61"/>
        <v>325.0289117714949</v>
      </c>
      <c r="H213" s="79">
        <f t="shared" si="50"/>
        <v>46479.134383323755</v>
      </c>
      <c r="I213" s="78">
        <f t="shared" si="46"/>
        <v>165.74501360945152</v>
      </c>
      <c r="J213" s="76">
        <f t="shared" si="51"/>
        <v>55318.472222222219</v>
      </c>
      <c r="K213" s="80">
        <f t="shared" si="47"/>
        <v>106.18926544136225</v>
      </c>
      <c r="L213" s="78">
        <f t="shared" si="52"/>
        <v>6.8111585332906976</v>
      </c>
      <c r="M213" s="59">
        <f t="shared" si="48"/>
        <v>27443.599179323617</v>
      </c>
      <c r="N213" s="80">
        <f t="shared" si="53"/>
        <v>82762.071401545836</v>
      </c>
      <c r="O213" s="54">
        <f t="shared" si="54"/>
        <v>51034.80859456375</v>
      </c>
      <c r="P213" s="54">
        <f t="shared" si="55"/>
        <v>2433.9415273333329</v>
      </c>
      <c r="Q213" s="54">
        <f t="shared" si="56"/>
        <v>403413.67157247249</v>
      </c>
      <c r="R213" s="54">
        <f t="shared" si="57"/>
        <v>248762.98000374591</v>
      </c>
      <c r="S213" s="54">
        <f t="shared" si="58"/>
        <v>320651.60017092666</v>
      </c>
      <c r="T213" s="81">
        <f t="shared" si="59"/>
        <v>197728.17140918216</v>
      </c>
      <c r="U213" s="82">
        <f t="shared" si="60"/>
        <v>2033</v>
      </c>
      <c r="V213" s="414">
        <v>11.9166666666666</v>
      </c>
      <c r="W213" s="185"/>
      <c r="X213" s="185"/>
    </row>
    <row r="214" spans="1:24" s="113" customFormat="1" x14ac:dyDescent="0.2">
      <c r="A214" s="73">
        <v>144</v>
      </c>
      <c r="B214" s="74">
        <f t="shared" si="43"/>
        <v>0</v>
      </c>
      <c r="C214" s="75">
        <f t="shared" si="44"/>
        <v>0</v>
      </c>
      <c r="D214" s="75">
        <f t="shared" si="45"/>
        <v>159.28389816204339</v>
      </c>
      <c r="E214" s="54">
        <f t="shared" si="49"/>
        <v>159.28389816204339</v>
      </c>
      <c r="F214" s="76">
        <f t="shared" si="62"/>
        <v>26958.130050626936</v>
      </c>
      <c r="G214" s="77">
        <f t="shared" si="61"/>
        <v>325.0289117714949</v>
      </c>
      <c r="H214" s="79">
        <f t="shared" si="50"/>
        <v>46804.163295095248</v>
      </c>
      <c r="I214" s="78">
        <f t="shared" si="46"/>
        <v>165.74501360945152</v>
      </c>
      <c r="J214" s="76">
        <f t="shared" si="51"/>
        <v>55318.472222222219</v>
      </c>
      <c r="K214" s="80">
        <f t="shared" si="47"/>
        <v>106.18926544136225</v>
      </c>
      <c r="L214" s="78">
        <f t="shared" si="52"/>
        <v>6.8111585332906976</v>
      </c>
      <c r="M214" s="59">
        <f t="shared" si="48"/>
        <v>27443.599179323617</v>
      </c>
      <c r="N214" s="80">
        <f t="shared" si="53"/>
        <v>82762.071401545836</v>
      </c>
      <c r="O214" s="54">
        <f t="shared" si="54"/>
        <v>50886.389957188607</v>
      </c>
      <c r="P214" s="54">
        <f t="shared" si="55"/>
        <v>2440.9884676666661</v>
      </c>
      <c r="Q214" s="54">
        <f t="shared" si="56"/>
        <v>404581.6667939258</v>
      </c>
      <c r="R214" s="54">
        <f t="shared" si="57"/>
        <v>248757.67507216492</v>
      </c>
      <c r="S214" s="54">
        <f t="shared" si="58"/>
        <v>321819.59539237997</v>
      </c>
      <c r="T214" s="81">
        <f t="shared" si="59"/>
        <v>197871.28511497632</v>
      </c>
      <c r="U214" s="82">
        <f t="shared" si="60"/>
        <v>2033</v>
      </c>
      <c r="V214" s="414">
        <v>12</v>
      </c>
      <c r="W214" s="185"/>
      <c r="X214" s="185"/>
    </row>
    <row r="215" spans="1:24" s="113" customFormat="1" x14ac:dyDescent="0.2">
      <c r="A215" s="73">
        <v>145</v>
      </c>
      <c r="B215" s="74">
        <f t="shared" si="43"/>
        <v>0</v>
      </c>
      <c r="C215" s="75">
        <f t="shared" si="44"/>
        <v>0</v>
      </c>
      <c r="D215" s="75">
        <f t="shared" si="45"/>
        <v>159.28389816204339</v>
      </c>
      <c r="E215" s="54">
        <f t="shared" si="49"/>
        <v>159.28389816204339</v>
      </c>
      <c r="F215" s="76">
        <f t="shared" si="62"/>
        <v>27117.413948788981</v>
      </c>
      <c r="G215" s="77">
        <f t="shared" si="61"/>
        <v>325.0289117714949</v>
      </c>
      <c r="H215" s="79">
        <f t="shared" si="50"/>
        <v>47129.192206866741</v>
      </c>
      <c r="I215" s="78">
        <f t="shared" si="46"/>
        <v>165.74501360945152</v>
      </c>
      <c r="J215" s="76">
        <f t="shared" si="51"/>
        <v>55318.472222222219</v>
      </c>
      <c r="K215" s="80">
        <f t="shared" si="47"/>
        <v>106.18926544136225</v>
      </c>
      <c r="L215" s="78">
        <f t="shared" si="52"/>
        <v>6.8111585332906976</v>
      </c>
      <c r="M215" s="59">
        <f t="shared" si="48"/>
        <v>27443.599179323617</v>
      </c>
      <c r="N215" s="80">
        <f t="shared" si="53"/>
        <v>82762.071401545836</v>
      </c>
      <c r="O215" s="54">
        <f t="shared" si="54"/>
        <v>50738.402948588562</v>
      </c>
      <c r="P215" s="54">
        <f t="shared" si="55"/>
        <v>2448.0354079999993</v>
      </c>
      <c r="Q215" s="54">
        <f t="shared" si="56"/>
        <v>405749.66201537906</v>
      </c>
      <c r="R215" s="54">
        <f t="shared" si="57"/>
        <v>248750.29707394919</v>
      </c>
      <c r="S215" s="54">
        <f t="shared" si="58"/>
        <v>322987.59061383322</v>
      </c>
      <c r="T215" s="81">
        <f t="shared" si="59"/>
        <v>198011.89412536065</v>
      </c>
      <c r="U215" s="376">
        <f t="shared" si="60"/>
        <v>2034</v>
      </c>
      <c r="V215" s="414">
        <v>12.0833333333333</v>
      </c>
      <c r="W215" s="185"/>
      <c r="X215" s="185"/>
    </row>
    <row r="216" spans="1:24" s="113" customFormat="1" x14ac:dyDescent="0.2">
      <c r="A216" s="73">
        <v>146</v>
      </c>
      <c r="B216" s="74">
        <f t="shared" si="43"/>
        <v>0</v>
      </c>
      <c r="C216" s="75">
        <f t="shared" si="44"/>
        <v>0</v>
      </c>
      <c r="D216" s="75">
        <f t="shared" si="45"/>
        <v>159.28389816204339</v>
      </c>
      <c r="E216" s="54">
        <f t="shared" si="49"/>
        <v>159.28389816204339</v>
      </c>
      <c r="F216" s="76">
        <f t="shared" si="62"/>
        <v>27276.697846951025</v>
      </c>
      <c r="G216" s="77">
        <f t="shared" si="61"/>
        <v>325.0289117714949</v>
      </c>
      <c r="H216" s="79">
        <f t="shared" si="50"/>
        <v>47454.221118638234</v>
      </c>
      <c r="I216" s="78">
        <f t="shared" si="46"/>
        <v>165.74501360945152</v>
      </c>
      <c r="J216" s="76">
        <f t="shared" si="51"/>
        <v>55318.472222222219</v>
      </c>
      <c r="K216" s="80">
        <f t="shared" si="47"/>
        <v>106.18926544136225</v>
      </c>
      <c r="L216" s="78">
        <f t="shared" si="52"/>
        <v>6.8111585332906976</v>
      </c>
      <c r="M216" s="59">
        <f t="shared" si="48"/>
        <v>27443.599179323617</v>
      </c>
      <c r="N216" s="80">
        <f t="shared" si="53"/>
        <v>82762.071401545836</v>
      </c>
      <c r="O216" s="54">
        <f t="shared" si="54"/>
        <v>50590.8463135075</v>
      </c>
      <c r="P216" s="54">
        <f t="shared" si="55"/>
        <v>2455.0823483333329</v>
      </c>
      <c r="Q216" s="54">
        <f t="shared" si="56"/>
        <v>406917.65723683249</v>
      </c>
      <c r="R216" s="54">
        <f t="shared" si="57"/>
        <v>248740.85811168572</v>
      </c>
      <c r="S216" s="54">
        <f t="shared" si="58"/>
        <v>324155.58583528665</v>
      </c>
      <c r="T216" s="81">
        <f t="shared" si="59"/>
        <v>198150.01179817822</v>
      </c>
      <c r="U216" s="82">
        <f t="shared" si="60"/>
        <v>2034</v>
      </c>
      <c r="V216" s="414">
        <v>12.1666666666666</v>
      </c>
      <c r="W216" s="185"/>
      <c r="X216" s="185"/>
    </row>
    <row r="217" spans="1:24" s="113" customFormat="1" x14ac:dyDescent="0.2">
      <c r="A217" s="73">
        <v>147</v>
      </c>
      <c r="B217" s="74">
        <f t="shared" si="43"/>
        <v>0</v>
      </c>
      <c r="C217" s="75">
        <f t="shared" si="44"/>
        <v>0</v>
      </c>
      <c r="D217" s="75">
        <f t="shared" si="45"/>
        <v>159.28389816204339</v>
      </c>
      <c r="E217" s="54">
        <f t="shared" si="49"/>
        <v>159.28389816204339</v>
      </c>
      <c r="F217" s="76">
        <f t="shared" si="62"/>
        <v>27435.981745113069</v>
      </c>
      <c r="G217" s="77">
        <f t="shared" si="61"/>
        <v>325.0289117714949</v>
      </c>
      <c r="H217" s="79">
        <f t="shared" si="50"/>
        <v>47779.250030409727</v>
      </c>
      <c r="I217" s="78">
        <f t="shared" si="46"/>
        <v>165.74501360945152</v>
      </c>
      <c r="J217" s="76">
        <f t="shared" si="51"/>
        <v>55318.472222222219</v>
      </c>
      <c r="K217" s="80">
        <f t="shared" si="47"/>
        <v>106.18926544136225</v>
      </c>
      <c r="L217" s="78">
        <f t="shared" si="52"/>
        <v>6.8111585332906976</v>
      </c>
      <c r="M217" s="59">
        <f t="shared" si="48"/>
        <v>27443.599179323617</v>
      </c>
      <c r="N217" s="80">
        <f t="shared" si="53"/>
        <v>82762.071401545836</v>
      </c>
      <c r="O217" s="54">
        <f t="shared" si="54"/>
        <v>50443.718800339841</v>
      </c>
      <c r="P217" s="54">
        <f t="shared" si="55"/>
        <v>2462.1292886666661</v>
      </c>
      <c r="Q217" s="54">
        <f t="shared" si="56"/>
        <v>408085.65245828574</v>
      </c>
      <c r="R217" s="54">
        <f t="shared" si="57"/>
        <v>248729.37023510123</v>
      </c>
      <c r="S217" s="54">
        <f t="shared" si="58"/>
        <v>325323.5810567399</v>
      </c>
      <c r="T217" s="81">
        <f t="shared" si="59"/>
        <v>198285.65143476138</v>
      </c>
      <c r="U217" s="82">
        <f t="shared" si="60"/>
        <v>2034</v>
      </c>
      <c r="V217" s="414">
        <v>12.25</v>
      </c>
      <c r="W217" s="185"/>
      <c r="X217" s="185"/>
    </row>
    <row r="218" spans="1:24" s="113" customFormat="1" x14ac:dyDescent="0.2">
      <c r="A218" s="73">
        <v>148</v>
      </c>
      <c r="B218" s="74">
        <f t="shared" si="43"/>
        <v>0</v>
      </c>
      <c r="C218" s="75">
        <f t="shared" si="44"/>
        <v>0</v>
      </c>
      <c r="D218" s="75">
        <f t="shared" si="45"/>
        <v>159.28389816204339</v>
      </c>
      <c r="E218" s="54">
        <f t="shared" si="49"/>
        <v>159.28389816204339</v>
      </c>
      <c r="F218" s="76">
        <f t="shared" si="62"/>
        <v>27595.265643275114</v>
      </c>
      <c r="G218" s="77">
        <f t="shared" si="61"/>
        <v>325.0289117714949</v>
      </c>
      <c r="H218" s="79">
        <f t="shared" si="50"/>
        <v>48104.278942181219</v>
      </c>
      <c r="I218" s="78">
        <f t="shared" si="46"/>
        <v>165.74501360945152</v>
      </c>
      <c r="J218" s="76">
        <f t="shared" si="51"/>
        <v>55318.472222222219</v>
      </c>
      <c r="K218" s="80">
        <f t="shared" si="47"/>
        <v>106.18926544136225</v>
      </c>
      <c r="L218" s="78">
        <f t="shared" si="52"/>
        <v>6.8111585332906976</v>
      </c>
      <c r="M218" s="59">
        <f t="shared" si="48"/>
        <v>27443.599179323617</v>
      </c>
      <c r="N218" s="80">
        <f t="shared" si="53"/>
        <v>82762.071401545836</v>
      </c>
      <c r="O218" s="54">
        <f t="shared" si="54"/>
        <v>50297.019161119904</v>
      </c>
      <c r="P218" s="54">
        <f t="shared" si="55"/>
        <v>2469.1762289999997</v>
      </c>
      <c r="Q218" s="54">
        <f t="shared" si="56"/>
        <v>409253.64767973911</v>
      </c>
      <c r="R218" s="54">
        <f t="shared" si="57"/>
        <v>248715.84544126791</v>
      </c>
      <c r="S218" s="54">
        <f t="shared" si="58"/>
        <v>326491.57627819327</v>
      </c>
      <c r="T218" s="81">
        <f t="shared" si="59"/>
        <v>198418.826280148</v>
      </c>
      <c r="U218" s="82">
        <f t="shared" si="60"/>
        <v>2034</v>
      </c>
      <c r="V218" s="414">
        <v>12.3333333333333</v>
      </c>
      <c r="W218" s="185"/>
      <c r="X218" s="185"/>
    </row>
    <row r="219" spans="1:24" s="113" customFormat="1" x14ac:dyDescent="0.2">
      <c r="A219" s="73">
        <v>149</v>
      </c>
      <c r="B219" s="74">
        <f t="shared" si="43"/>
        <v>0</v>
      </c>
      <c r="C219" s="75">
        <f t="shared" si="44"/>
        <v>0</v>
      </c>
      <c r="D219" s="75">
        <f t="shared" si="45"/>
        <v>159.28389816204339</v>
      </c>
      <c r="E219" s="54">
        <f t="shared" si="49"/>
        <v>159.28389816204339</v>
      </c>
      <c r="F219" s="76">
        <f t="shared" si="62"/>
        <v>27754.549541437158</v>
      </c>
      <c r="G219" s="77">
        <f t="shared" si="61"/>
        <v>325.0289117714949</v>
      </c>
      <c r="H219" s="79">
        <f t="shared" si="50"/>
        <v>48429.307853952712</v>
      </c>
      <c r="I219" s="78">
        <f t="shared" si="46"/>
        <v>165.74501360945152</v>
      </c>
      <c r="J219" s="76">
        <f t="shared" si="51"/>
        <v>55318.472222222219</v>
      </c>
      <c r="K219" s="80">
        <f t="shared" si="47"/>
        <v>106.18926544136225</v>
      </c>
      <c r="L219" s="78">
        <f t="shared" si="52"/>
        <v>6.8111585332906976</v>
      </c>
      <c r="M219" s="59">
        <f t="shared" si="48"/>
        <v>27443.599179323617</v>
      </c>
      <c r="N219" s="80">
        <f t="shared" si="53"/>
        <v>82762.071401545836</v>
      </c>
      <c r="O219" s="54">
        <f t="shared" si="54"/>
        <v>50150.746151511332</v>
      </c>
      <c r="P219" s="54">
        <f t="shared" si="55"/>
        <v>2476.2231693333329</v>
      </c>
      <c r="Q219" s="54">
        <f t="shared" si="56"/>
        <v>410421.64290119242</v>
      </c>
      <c r="R219" s="54">
        <f t="shared" si="57"/>
        <v>248700.29567480696</v>
      </c>
      <c r="S219" s="54">
        <f t="shared" si="58"/>
        <v>327659.57149964658</v>
      </c>
      <c r="T219" s="81">
        <f t="shared" si="59"/>
        <v>198549.54952329563</v>
      </c>
      <c r="U219" s="82">
        <f t="shared" si="60"/>
        <v>2034</v>
      </c>
      <c r="V219" s="414">
        <v>12.4166666666666</v>
      </c>
      <c r="W219" s="185"/>
      <c r="X219" s="185"/>
    </row>
    <row r="220" spans="1:24" s="113" customFormat="1" x14ac:dyDescent="0.2">
      <c r="A220" s="73">
        <v>150</v>
      </c>
      <c r="B220" s="74">
        <f t="shared" si="43"/>
        <v>0</v>
      </c>
      <c r="C220" s="75">
        <f t="shared" si="44"/>
        <v>0</v>
      </c>
      <c r="D220" s="75">
        <f t="shared" si="45"/>
        <v>159.28389816204339</v>
      </c>
      <c r="E220" s="54">
        <f t="shared" si="49"/>
        <v>159.28389816204339</v>
      </c>
      <c r="F220" s="76">
        <f t="shared" si="62"/>
        <v>27913.833439599202</v>
      </c>
      <c r="G220" s="77">
        <f t="shared" si="61"/>
        <v>325.0289117714949</v>
      </c>
      <c r="H220" s="79">
        <f t="shared" si="50"/>
        <v>48754.336765724205</v>
      </c>
      <c r="I220" s="78">
        <f t="shared" si="46"/>
        <v>165.74501360945152</v>
      </c>
      <c r="J220" s="76">
        <f t="shared" si="51"/>
        <v>55318.472222222219</v>
      </c>
      <c r="K220" s="80">
        <f t="shared" si="47"/>
        <v>106.18926544136225</v>
      </c>
      <c r="L220" s="78">
        <f t="shared" si="52"/>
        <v>6.8111585332906976</v>
      </c>
      <c r="M220" s="59">
        <f t="shared" si="48"/>
        <v>27443.599179323617</v>
      </c>
      <c r="N220" s="80">
        <f t="shared" si="53"/>
        <v>82762.071401545836</v>
      </c>
      <c r="O220" s="54">
        <f t="shared" si="54"/>
        <v>50004.898530796512</v>
      </c>
      <c r="P220" s="54">
        <f t="shared" si="55"/>
        <v>2483.2701096666665</v>
      </c>
      <c r="Q220" s="54">
        <f t="shared" si="56"/>
        <v>411589.63812264579</v>
      </c>
      <c r="R220" s="54">
        <f t="shared" si="57"/>
        <v>248682.73282809273</v>
      </c>
      <c r="S220" s="54">
        <f t="shared" si="58"/>
        <v>328827.56672109995</v>
      </c>
      <c r="T220" s="81">
        <f t="shared" si="59"/>
        <v>198677.83429729624</v>
      </c>
      <c r="U220" s="82">
        <f t="shared" si="60"/>
        <v>2034</v>
      </c>
      <c r="V220" s="414">
        <v>12.5</v>
      </c>
      <c r="W220" s="185"/>
      <c r="X220" s="185"/>
    </row>
    <row r="221" spans="1:24" s="113" customFormat="1" x14ac:dyDescent="0.2">
      <c r="A221" s="73">
        <v>151</v>
      </c>
      <c r="B221" s="74">
        <f t="shared" si="43"/>
        <v>0</v>
      </c>
      <c r="C221" s="75">
        <f t="shared" si="44"/>
        <v>0</v>
      </c>
      <c r="D221" s="75">
        <f t="shared" si="45"/>
        <v>159.28389816204339</v>
      </c>
      <c r="E221" s="54">
        <f t="shared" si="49"/>
        <v>159.28389816204339</v>
      </c>
      <c r="F221" s="76">
        <f t="shared" si="62"/>
        <v>28073.117337761247</v>
      </c>
      <c r="G221" s="77">
        <f t="shared" si="61"/>
        <v>325.0289117714949</v>
      </c>
      <c r="H221" s="79">
        <f t="shared" si="50"/>
        <v>49079.365677495698</v>
      </c>
      <c r="I221" s="78">
        <f t="shared" si="46"/>
        <v>165.74501360945152</v>
      </c>
      <c r="J221" s="76">
        <f t="shared" si="51"/>
        <v>55318.472222222219</v>
      </c>
      <c r="K221" s="80">
        <f t="shared" si="47"/>
        <v>106.18926544136225</v>
      </c>
      <c r="L221" s="78">
        <f t="shared" si="52"/>
        <v>6.8111585332906976</v>
      </c>
      <c r="M221" s="59">
        <f t="shared" si="48"/>
        <v>27443.599179323617</v>
      </c>
      <c r="N221" s="80">
        <f t="shared" si="53"/>
        <v>82762.071401545836</v>
      </c>
      <c r="O221" s="54">
        <f t="shared" si="54"/>
        <v>49859.475061866069</v>
      </c>
      <c r="P221" s="54">
        <f t="shared" si="55"/>
        <v>2490.3170499999997</v>
      </c>
      <c r="Q221" s="54">
        <f t="shared" si="56"/>
        <v>412757.6333440991</v>
      </c>
      <c r="R221" s="54">
        <f t="shared" si="57"/>
        <v>248663.16874145536</v>
      </c>
      <c r="S221" s="54">
        <f t="shared" si="58"/>
        <v>329995.56194255326</v>
      </c>
      <c r="T221" s="81">
        <f t="shared" si="59"/>
        <v>198803.69367958928</v>
      </c>
      <c r="U221" s="82">
        <f t="shared" si="60"/>
        <v>2034</v>
      </c>
      <c r="V221" s="414">
        <v>12.5833333333333</v>
      </c>
      <c r="W221" s="185"/>
      <c r="X221" s="185"/>
    </row>
    <row r="222" spans="1:24" s="113" customFormat="1" x14ac:dyDescent="0.2">
      <c r="A222" s="73">
        <v>152</v>
      </c>
      <c r="B222" s="74">
        <f t="shared" si="43"/>
        <v>0</v>
      </c>
      <c r="C222" s="75">
        <f t="shared" si="44"/>
        <v>0</v>
      </c>
      <c r="D222" s="75">
        <f t="shared" si="45"/>
        <v>159.28389816204339</v>
      </c>
      <c r="E222" s="54">
        <f t="shared" si="49"/>
        <v>159.28389816204339</v>
      </c>
      <c r="F222" s="76">
        <f t="shared" si="62"/>
        <v>28232.401235923291</v>
      </c>
      <c r="G222" s="77">
        <f t="shared" si="61"/>
        <v>325.0289117714949</v>
      </c>
      <c r="H222" s="79">
        <f t="shared" si="50"/>
        <v>49404.394589267191</v>
      </c>
      <c r="I222" s="78">
        <f t="shared" si="46"/>
        <v>165.74501360945152</v>
      </c>
      <c r="J222" s="76">
        <f t="shared" si="51"/>
        <v>55318.472222222219</v>
      </c>
      <c r="K222" s="80">
        <f t="shared" si="47"/>
        <v>106.18926544136225</v>
      </c>
      <c r="L222" s="78">
        <f t="shared" si="52"/>
        <v>6.8111585332906976</v>
      </c>
      <c r="M222" s="59">
        <f t="shared" si="48"/>
        <v>27443.599179323617</v>
      </c>
      <c r="N222" s="80">
        <f t="shared" si="53"/>
        <v>82762.071401545836</v>
      </c>
      <c r="O222" s="54">
        <f t="shared" si="54"/>
        <v>49714.474511208376</v>
      </c>
      <c r="P222" s="54">
        <f t="shared" si="55"/>
        <v>2497.3639903333328</v>
      </c>
      <c r="Q222" s="54">
        <f t="shared" si="56"/>
        <v>413925.62856555241</v>
      </c>
      <c r="R222" s="54">
        <f t="shared" si="57"/>
        <v>248641.61520338291</v>
      </c>
      <c r="S222" s="54">
        <f t="shared" si="58"/>
        <v>331163.55716400658</v>
      </c>
      <c r="T222" s="81">
        <f t="shared" si="59"/>
        <v>198927.14069217452</v>
      </c>
      <c r="U222" s="82">
        <f t="shared" si="60"/>
        <v>2034</v>
      </c>
      <c r="V222" s="414">
        <v>12.6666666666666</v>
      </c>
      <c r="W222" s="185"/>
      <c r="X222" s="185"/>
    </row>
    <row r="223" spans="1:24" s="113" customFormat="1" x14ac:dyDescent="0.2">
      <c r="A223" s="73">
        <v>153</v>
      </c>
      <c r="B223" s="74">
        <f t="shared" si="43"/>
        <v>0</v>
      </c>
      <c r="C223" s="75">
        <f t="shared" si="44"/>
        <v>0</v>
      </c>
      <c r="D223" s="75">
        <f t="shared" si="45"/>
        <v>159.28389816204339</v>
      </c>
      <c r="E223" s="54">
        <f t="shared" si="49"/>
        <v>159.28389816204339</v>
      </c>
      <c r="F223" s="76">
        <f t="shared" si="62"/>
        <v>28391.685134085335</v>
      </c>
      <c r="G223" s="77">
        <f t="shared" si="61"/>
        <v>325.0289117714949</v>
      </c>
      <c r="H223" s="79">
        <f t="shared" si="50"/>
        <v>49729.423501038684</v>
      </c>
      <c r="I223" s="78">
        <f t="shared" si="46"/>
        <v>165.74501360945152</v>
      </c>
      <c r="J223" s="76">
        <f t="shared" si="51"/>
        <v>55318.472222222219</v>
      </c>
      <c r="K223" s="80">
        <f t="shared" si="47"/>
        <v>106.18926544136225</v>
      </c>
      <c r="L223" s="78">
        <f t="shared" si="52"/>
        <v>6.8111585332906976</v>
      </c>
      <c r="M223" s="59">
        <f t="shared" si="48"/>
        <v>27443.599179323617</v>
      </c>
      <c r="N223" s="80">
        <f t="shared" si="53"/>
        <v>82762.071401545836</v>
      </c>
      <c r="O223" s="54">
        <f t="shared" si="54"/>
        <v>49569.895648899095</v>
      </c>
      <c r="P223" s="54">
        <f t="shared" si="55"/>
        <v>2504.410930666666</v>
      </c>
      <c r="Q223" s="54">
        <f t="shared" si="56"/>
        <v>415093.62378700572</v>
      </c>
      <c r="R223" s="54">
        <f t="shared" si="57"/>
        <v>248618.083950723</v>
      </c>
      <c r="S223" s="54">
        <f t="shared" si="58"/>
        <v>332331.55238545989</v>
      </c>
      <c r="T223" s="81">
        <f t="shared" si="59"/>
        <v>199048.18830182389</v>
      </c>
      <c r="U223" s="82">
        <f t="shared" si="60"/>
        <v>2034</v>
      </c>
      <c r="V223" s="414">
        <v>12.75</v>
      </c>
      <c r="W223" s="185"/>
      <c r="X223" s="185"/>
    </row>
    <row r="224" spans="1:24" s="113" customFormat="1" x14ac:dyDescent="0.2">
      <c r="A224" s="73">
        <v>154</v>
      </c>
      <c r="B224" s="74">
        <f t="shared" si="43"/>
        <v>0</v>
      </c>
      <c r="C224" s="75">
        <f t="shared" si="44"/>
        <v>0</v>
      </c>
      <c r="D224" s="75">
        <f t="shared" si="45"/>
        <v>159.28389816204339</v>
      </c>
      <c r="E224" s="54">
        <f t="shared" si="49"/>
        <v>159.28389816204339</v>
      </c>
      <c r="F224" s="76">
        <f t="shared" si="62"/>
        <v>28550.96903224738</v>
      </c>
      <c r="G224" s="77">
        <f t="shared" si="61"/>
        <v>325.0289117714949</v>
      </c>
      <c r="H224" s="79">
        <f t="shared" si="50"/>
        <v>50054.452412810177</v>
      </c>
      <c r="I224" s="78">
        <f t="shared" si="46"/>
        <v>165.74501360945152</v>
      </c>
      <c r="J224" s="76">
        <f t="shared" si="51"/>
        <v>55318.472222222219</v>
      </c>
      <c r="K224" s="80">
        <f t="shared" si="47"/>
        <v>106.18926544136225</v>
      </c>
      <c r="L224" s="78">
        <f t="shared" si="52"/>
        <v>6.8111585332906976</v>
      </c>
      <c r="M224" s="59">
        <f t="shared" si="48"/>
        <v>27443.599179323617</v>
      </c>
      <c r="N224" s="80">
        <f t="shared" si="53"/>
        <v>82762.071401545836</v>
      </c>
      <c r="O224" s="54">
        <f t="shared" si="54"/>
        <v>49425.737248590711</v>
      </c>
      <c r="P224" s="54">
        <f t="shared" si="55"/>
        <v>2511.4578709999996</v>
      </c>
      <c r="Q224" s="54">
        <f t="shared" si="56"/>
        <v>416261.61900845909</v>
      </c>
      <c r="R224" s="54">
        <f t="shared" si="57"/>
        <v>248592.58666888304</v>
      </c>
      <c r="S224" s="54">
        <f t="shared" si="58"/>
        <v>333499.54760691326</v>
      </c>
      <c r="T224" s="81">
        <f t="shared" si="59"/>
        <v>199166.84942029233</v>
      </c>
      <c r="U224" s="82">
        <f t="shared" si="60"/>
        <v>2034</v>
      </c>
      <c r="V224" s="414">
        <v>12.8333333333333</v>
      </c>
      <c r="W224" s="185"/>
      <c r="X224" s="185"/>
    </row>
    <row r="225" spans="1:24" s="113" customFormat="1" x14ac:dyDescent="0.2">
      <c r="A225" s="73">
        <v>155</v>
      </c>
      <c r="B225" s="74">
        <f t="shared" si="43"/>
        <v>0</v>
      </c>
      <c r="C225" s="75">
        <f t="shared" si="44"/>
        <v>0</v>
      </c>
      <c r="D225" s="75">
        <f t="shared" si="45"/>
        <v>159.28389816204339</v>
      </c>
      <c r="E225" s="54">
        <f t="shared" si="49"/>
        <v>159.28389816204339</v>
      </c>
      <c r="F225" s="76">
        <f t="shared" si="62"/>
        <v>28710.252930409424</v>
      </c>
      <c r="G225" s="77">
        <f t="shared" si="61"/>
        <v>325.0289117714949</v>
      </c>
      <c r="H225" s="79">
        <f t="shared" si="50"/>
        <v>50379.481324581669</v>
      </c>
      <c r="I225" s="78">
        <f t="shared" si="46"/>
        <v>165.74501360945152</v>
      </c>
      <c r="J225" s="76">
        <f t="shared" si="51"/>
        <v>55318.472222222219</v>
      </c>
      <c r="K225" s="80">
        <f t="shared" si="47"/>
        <v>106.18926544136225</v>
      </c>
      <c r="L225" s="78">
        <f t="shared" si="52"/>
        <v>6.8111585332906976</v>
      </c>
      <c r="M225" s="59">
        <f t="shared" si="48"/>
        <v>27443.599179323617</v>
      </c>
      <c r="N225" s="80">
        <f t="shared" si="53"/>
        <v>82762.071401545836</v>
      </c>
      <c r="O225" s="54">
        <f t="shared" si="54"/>
        <v>49281.998087502165</v>
      </c>
      <c r="P225" s="54">
        <f t="shared" si="55"/>
        <v>2518.5048113333328</v>
      </c>
      <c r="Q225" s="54">
        <f t="shared" si="56"/>
        <v>417429.61422991235</v>
      </c>
      <c r="R225" s="54">
        <f t="shared" si="57"/>
        <v>248565.13499203051</v>
      </c>
      <c r="S225" s="54">
        <f t="shared" si="58"/>
        <v>334667.54282836651</v>
      </c>
      <c r="T225" s="81">
        <f t="shared" si="59"/>
        <v>199283.13690452834</v>
      </c>
      <c r="U225" s="82">
        <f t="shared" si="60"/>
        <v>2034</v>
      </c>
      <c r="V225" s="414">
        <v>12.9166666666666</v>
      </c>
      <c r="W225" s="185"/>
      <c r="X225" s="185"/>
    </row>
    <row r="226" spans="1:24" s="113" customFormat="1" x14ac:dyDescent="0.2">
      <c r="A226" s="83">
        <v>156</v>
      </c>
      <c r="B226" s="84">
        <f t="shared" si="43"/>
        <v>0</v>
      </c>
      <c r="C226" s="85">
        <f t="shared" si="44"/>
        <v>0</v>
      </c>
      <c r="D226" s="85">
        <f t="shared" si="45"/>
        <v>159.28389816204339</v>
      </c>
      <c r="E226" s="86">
        <f t="shared" si="49"/>
        <v>159.28389816204339</v>
      </c>
      <c r="F226" s="87">
        <f t="shared" si="62"/>
        <v>28869.536828571469</v>
      </c>
      <c r="G226" s="77">
        <f t="shared" si="61"/>
        <v>325.0289117714949</v>
      </c>
      <c r="H226" s="89">
        <f t="shared" si="50"/>
        <v>50704.510236353162</v>
      </c>
      <c r="I226" s="88">
        <f t="shared" si="46"/>
        <v>165.74501360945152</v>
      </c>
      <c r="J226" s="76">
        <f t="shared" si="51"/>
        <v>55318.472222222219</v>
      </c>
      <c r="K226" s="90">
        <f t="shared" si="47"/>
        <v>106.18926544136225</v>
      </c>
      <c r="L226" s="78">
        <f t="shared" si="52"/>
        <v>6.8111585332906976</v>
      </c>
      <c r="M226" s="59">
        <f t="shared" si="48"/>
        <v>27443.599179323617</v>
      </c>
      <c r="N226" s="80">
        <f t="shared" si="53"/>
        <v>82762.071401545836</v>
      </c>
      <c r="O226" s="54">
        <f t="shared" si="54"/>
        <v>49138.676946408457</v>
      </c>
      <c r="P226" s="54">
        <f t="shared" si="55"/>
        <v>2525.5517516666664</v>
      </c>
      <c r="Q226" s="54">
        <f t="shared" si="56"/>
        <v>418597.60945136577</v>
      </c>
      <c r="R226" s="54">
        <f t="shared" si="57"/>
        <v>248535.74050329198</v>
      </c>
      <c r="S226" s="54">
        <f t="shared" si="58"/>
        <v>335835.53804981994</v>
      </c>
      <c r="T226" s="81">
        <f t="shared" si="59"/>
        <v>199397.06355688351</v>
      </c>
      <c r="U226" s="82">
        <f t="shared" si="60"/>
        <v>2034</v>
      </c>
      <c r="V226" s="414">
        <v>13</v>
      </c>
      <c r="W226" s="185"/>
      <c r="X226" s="185"/>
    </row>
    <row r="227" spans="1:24" s="113" customFormat="1" x14ac:dyDescent="0.2">
      <c r="A227" s="73">
        <v>157</v>
      </c>
      <c r="B227" s="74">
        <f t="shared" si="43"/>
        <v>0</v>
      </c>
      <c r="C227" s="75">
        <f t="shared" si="44"/>
        <v>0</v>
      </c>
      <c r="D227" s="75">
        <f t="shared" si="45"/>
        <v>159.28389816204339</v>
      </c>
      <c r="E227" s="54">
        <f t="shared" si="49"/>
        <v>159.28389816204339</v>
      </c>
      <c r="F227" s="76">
        <f t="shared" si="62"/>
        <v>29028.820726733513</v>
      </c>
      <c r="G227" s="77">
        <f t="shared" si="61"/>
        <v>325.0289117714949</v>
      </c>
      <c r="H227" s="79">
        <f t="shared" si="50"/>
        <v>51029.539148124655</v>
      </c>
      <c r="I227" s="78">
        <f t="shared" si="46"/>
        <v>165.74501360945152</v>
      </c>
      <c r="J227" s="76">
        <f t="shared" si="51"/>
        <v>55318.472222222219</v>
      </c>
      <c r="K227" s="80">
        <f t="shared" si="47"/>
        <v>106.18926544136225</v>
      </c>
      <c r="L227" s="78">
        <f t="shared" si="52"/>
        <v>6.8111585332906976</v>
      </c>
      <c r="M227" s="59">
        <f t="shared" si="48"/>
        <v>27443.599179323617</v>
      </c>
      <c r="N227" s="80">
        <f t="shared" si="53"/>
        <v>82762.071401545836</v>
      </c>
      <c r="O227" s="54">
        <f t="shared" si="54"/>
        <v>48995.772609630374</v>
      </c>
      <c r="P227" s="54">
        <f t="shared" si="55"/>
        <v>2532.5986919999996</v>
      </c>
      <c r="Q227" s="54">
        <f t="shared" si="56"/>
        <v>419765.60467281903</v>
      </c>
      <c r="R227" s="54">
        <f t="shared" si="57"/>
        <v>248504.41473495177</v>
      </c>
      <c r="S227" s="54">
        <f t="shared" si="58"/>
        <v>337003.53327127319</v>
      </c>
      <c r="T227" s="81">
        <f t="shared" si="59"/>
        <v>199508.64212532141</v>
      </c>
      <c r="U227" s="376">
        <f t="shared" si="60"/>
        <v>2035</v>
      </c>
      <c r="V227" s="414">
        <v>13.0833333333333</v>
      </c>
      <c r="W227" s="185"/>
      <c r="X227" s="185"/>
    </row>
    <row r="228" spans="1:24" s="113" customFormat="1" x14ac:dyDescent="0.2">
      <c r="A228" s="73">
        <v>158</v>
      </c>
      <c r="B228" s="74">
        <f t="shared" si="43"/>
        <v>0</v>
      </c>
      <c r="C228" s="75">
        <f t="shared" si="44"/>
        <v>0</v>
      </c>
      <c r="D228" s="75">
        <f t="shared" si="45"/>
        <v>159.28389816204339</v>
      </c>
      <c r="E228" s="54">
        <f t="shared" si="49"/>
        <v>159.28389816204339</v>
      </c>
      <c r="F228" s="76">
        <f t="shared" si="62"/>
        <v>29188.104624895557</v>
      </c>
      <c r="G228" s="77">
        <f t="shared" si="61"/>
        <v>325.0289117714949</v>
      </c>
      <c r="H228" s="79">
        <f t="shared" si="50"/>
        <v>51354.568059896148</v>
      </c>
      <c r="I228" s="78">
        <f t="shared" si="46"/>
        <v>165.74501360945152</v>
      </c>
      <c r="J228" s="76">
        <f t="shared" si="51"/>
        <v>55318.472222222219</v>
      </c>
      <c r="K228" s="80">
        <f t="shared" si="47"/>
        <v>106.18926544136225</v>
      </c>
      <c r="L228" s="78">
        <f t="shared" si="52"/>
        <v>6.8111585332906976</v>
      </c>
      <c r="M228" s="59">
        <f t="shared" si="48"/>
        <v>27443.599179323617</v>
      </c>
      <c r="N228" s="80">
        <f t="shared" si="53"/>
        <v>82762.071401545836</v>
      </c>
      <c r="O228" s="54">
        <f t="shared" si="54"/>
        <v>48853.283865024052</v>
      </c>
      <c r="P228" s="54">
        <f t="shared" si="55"/>
        <v>2539.6456323333327</v>
      </c>
      <c r="Q228" s="54">
        <f t="shared" si="56"/>
        <v>420933.59989427234</v>
      </c>
      <c r="R228" s="54">
        <f t="shared" si="57"/>
        <v>248471.16916864953</v>
      </c>
      <c r="S228" s="54">
        <f t="shared" si="58"/>
        <v>338171.5284927265</v>
      </c>
      <c r="T228" s="81">
        <f t="shared" si="59"/>
        <v>199617.88530362546</v>
      </c>
      <c r="U228" s="82">
        <f t="shared" si="60"/>
        <v>2035</v>
      </c>
      <c r="V228" s="414">
        <v>13.1666666666666</v>
      </c>
      <c r="W228" s="185"/>
      <c r="X228" s="185"/>
    </row>
    <row r="229" spans="1:24" s="113" customFormat="1" x14ac:dyDescent="0.2">
      <c r="A229" s="73">
        <v>159</v>
      </c>
      <c r="B229" s="74">
        <f t="shared" si="43"/>
        <v>0</v>
      </c>
      <c r="C229" s="75">
        <f t="shared" si="44"/>
        <v>0</v>
      </c>
      <c r="D229" s="75">
        <f t="shared" si="45"/>
        <v>159.28389816204339</v>
      </c>
      <c r="E229" s="54">
        <f t="shared" si="49"/>
        <v>159.28389816204339</v>
      </c>
      <c r="F229" s="76">
        <f t="shared" si="62"/>
        <v>29347.388523057602</v>
      </c>
      <c r="G229" s="77">
        <f t="shared" si="61"/>
        <v>325.0289117714949</v>
      </c>
      <c r="H229" s="79">
        <f t="shared" si="50"/>
        <v>51679.596971667641</v>
      </c>
      <c r="I229" s="78">
        <f t="shared" si="46"/>
        <v>165.74501360945152</v>
      </c>
      <c r="J229" s="76">
        <f t="shared" si="51"/>
        <v>55318.472222222219</v>
      </c>
      <c r="K229" s="80">
        <f t="shared" si="47"/>
        <v>106.18926544136225</v>
      </c>
      <c r="L229" s="78">
        <f t="shared" si="52"/>
        <v>6.8111585332906976</v>
      </c>
      <c r="M229" s="59">
        <f t="shared" si="48"/>
        <v>27443.599179323617</v>
      </c>
      <c r="N229" s="80">
        <f t="shared" si="53"/>
        <v>82762.071401545836</v>
      </c>
      <c r="O229" s="54">
        <f t="shared" si="54"/>
        <v>48711.209503970815</v>
      </c>
      <c r="P229" s="54">
        <f t="shared" si="55"/>
        <v>2546.6925726666664</v>
      </c>
      <c r="Q229" s="54">
        <f t="shared" si="56"/>
        <v>422101.59511572571</v>
      </c>
      <c r="R229" s="54">
        <f t="shared" si="57"/>
        <v>248436.01523557733</v>
      </c>
      <c r="S229" s="54">
        <f t="shared" si="58"/>
        <v>339339.52371417987</v>
      </c>
      <c r="T229" s="81">
        <f t="shared" si="59"/>
        <v>199724.8057316065</v>
      </c>
      <c r="U229" s="82">
        <f t="shared" si="60"/>
        <v>2035</v>
      </c>
      <c r="V229" s="414">
        <v>13.25</v>
      </c>
      <c r="W229" s="185"/>
      <c r="X229" s="185"/>
    </row>
    <row r="230" spans="1:24" s="113" customFormat="1" x14ac:dyDescent="0.2">
      <c r="A230" s="73">
        <v>160</v>
      </c>
      <c r="B230" s="74">
        <f t="shared" si="43"/>
        <v>0</v>
      </c>
      <c r="C230" s="75">
        <f t="shared" si="44"/>
        <v>0</v>
      </c>
      <c r="D230" s="75">
        <f t="shared" si="45"/>
        <v>159.28389816204339</v>
      </c>
      <c r="E230" s="54">
        <f t="shared" si="49"/>
        <v>159.28389816204339</v>
      </c>
      <c r="F230" s="76">
        <f t="shared" si="62"/>
        <v>29506.672421219646</v>
      </c>
      <c r="G230" s="77">
        <f t="shared" si="61"/>
        <v>325.0289117714949</v>
      </c>
      <c r="H230" s="79">
        <f t="shared" si="50"/>
        <v>52004.625883439134</v>
      </c>
      <c r="I230" s="78">
        <f t="shared" si="46"/>
        <v>165.74501360945152</v>
      </c>
      <c r="J230" s="76">
        <f t="shared" si="51"/>
        <v>55318.472222222219</v>
      </c>
      <c r="K230" s="80">
        <f t="shared" si="47"/>
        <v>106.18926544136225</v>
      </c>
      <c r="L230" s="78">
        <f t="shared" si="52"/>
        <v>6.8111585332906976</v>
      </c>
      <c r="M230" s="59">
        <f t="shared" si="48"/>
        <v>27443.599179323617</v>
      </c>
      <c r="N230" s="80">
        <f t="shared" si="53"/>
        <v>82762.071401545836</v>
      </c>
      <c r="O230" s="54">
        <f t="shared" si="54"/>
        <v>48569.548321366819</v>
      </c>
      <c r="P230" s="54">
        <f t="shared" si="55"/>
        <v>2553.7395129999995</v>
      </c>
      <c r="Q230" s="54">
        <f t="shared" si="56"/>
        <v>423269.59033717902</v>
      </c>
      <c r="R230" s="54">
        <f t="shared" si="57"/>
        <v>248398.96431667576</v>
      </c>
      <c r="S230" s="54">
        <f t="shared" si="58"/>
        <v>340507.51893563318</v>
      </c>
      <c r="T230" s="81">
        <f t="shared" si="59"/>
        <v>199829.41599530893</v>
      </c>
      <c r="U230" s="82">
        <f t="shared" si="60"/>
        <v>2035</v>
      </c>
      <c r="V230" s="414">
        <v>13.3333333333333</v>
      </c>
      <c r="W230" s="185"/>
      <c r="X230" s="185"/>
    </row>
    <row r="231" spans="1:24" s="113" customFormat="1" x14ac:dyDescent="0.2">
      <c r="A231" s="73">
        <v>161</v>
      </c>
      <c r="B231" s="74">
        <f t="shared" si="43"/>
        <v>0</v>
      </c>
      <c r="C231" s="75">
        <f t="shared" si="44"/>
        <v>0</v>
      </c>
      <c r="D231" s="75">
        <f t="shared" si="45"/>
        <v>159.28389816204339</v>
      </c>
      <c r="E231" s="54">
        <f t="shared" si="49"/>
        <v>159.28389816204339</v>
      </c>
      <c r="F231" s="76">
        <f t="shared" si="62"/>
        <v>29665.95631938169</v>
      </c>
      <c r="G231" s="77">
        <f t="shared" si="61"/>
        <v>325.0289117714949</v>
      </c>
      <c r="H231" s="79">
        <f t="shared" si="50"/>
        <v>52329.654795210627</v>
      </c>
      <c r="I231" s="78">
        <f t="shared" si="46"/>
        <v>165.74501360945152</v>
      </c>
      <c r="J231" s="76">
        <f t="shared" si="51"/>
        <v>55318.472222222219</v>
      </c>
      <c r="K231" s="80">
        <f t="shared" si="47"/>
        <v>106.18926544136225</v>
      </c>
      <c r="L231" s="78">
        <f t="shared" si="52"/>
        <v>6.8111585332906976</v>
      </c>
      <c r="M231" s="59">
        <f t="shared" si="48"/>
        <v>27443.599179323617</v>
      </c>
      <c r="N231" s="80">
        <f t="shared" si="53"/>
        <v>82762.071401545836</v>
      </c>
      <c r="O231" s="54">
        <f t="shared" si="54"/>
        <v>48428.299115612957</v>
      </c>
      <c r="P231" s="54">
        <f t="shared" si="55"/>
        <v>2560.7864533333332</v>
      </c>
      <c r="Q231" s="54">
        <f t="shared" si="56"/>
        <v>424437.58555863239</v>
      </c>
      <c r="R231" s="54">
        <f t="shared" si="57"/>
        <v>248360.02774283016</v>
      </c>
      <c r="S231" s="54">
        <f t="shared" si="58"/>
        <v>341675.51415708655</v>
      </c>
      <c r="T231" s="81">
        <f t="shared" si="59"/>
        <v>199931.72862721721</v>
      </c>
      <c r="U231" s="82">
        <f t="shared" si="60"/>
        <v>2035</v>
      </c>
      <c r="V231" s="414">
        <v>13.4166666666666</v>
      </c>
      <c r="W231" s="185"/>
      <c r="X231" s="185"/>
    </row>
    <row r="232" spans="1:24" s="113" customFormat="1" x14ac:dyDescent="0.2">
      <c r="A232" s="73">
        <v>162</v>
      </c>
      <c r="B232" s="74">
        <f t="shared" si="43"/>
        <v>0</v>
      </c>
      <c r="C232" s="75">
        <f t="shared" si="44"/>
        <v>0</v>
      </c>
      <c r="D232" s="75">
        <f t="shared" si="45"/>
        <v>159.28389816204339</v>
      </c>
      <c r="E232" s="54">
        <f t="shared" si="49"/>
        <v>159.28389816204339</v>
      </c>
      <c r="F232" s="76">
        <f t="shared" si="62"/>
        <v>29825.240217543735</v>
      </c>
      <c r="G232" s="77">
        <f t="shared" si="61"/>
        <v>325.0289117714949</v>
      </c>
      <c r="H232" s="79">
        <f t="shared" si="50"/>
        <v>52654.683706982119</v>
      </c>
      <c r="I232" s="78">
        <f t="shared" si="46"/>
        <v>165.74501360945152</v>
      </c>
      <c r="J232" s="76">
        <f t="shared" si="51"/>
        <v>55318.472222222219</v>
      </c>
      <c r="K232" s="80">
        <f t="shared" si="47"/>
        <v>106.18926544136225</v>
      </c>
      <c r="L232" s="78">
        <f t="shared" si="52"/>
        <v>6.8111585332906976</v>
      </c>
      <c r="M232" s="59">
        <f t="shared" si="48"/>
        <v>27443.599179323617</v>
      </c>
      <c r="N232" s="80">
        <f t="shared" si="53"/>
        <v>82762.071401545836</v>
      </c>
      <c r="O232" s="54">
        <f t="shared" si="54"/>
        <v>48287.460688604515</v>
      </c>
      <c r="P232" s="54">
        <f t="shared" si="55"/>
        <v>2567.8333936666659</v>
      </c>
      <c r="Q232" s="54">
        <f t="shared" si="56"/>
        <v>425605.58078008564</v>
      </c>
      <c r="R232" s="54">
        <f t="shared" si="57"/>
        <v>248319.21679506463</v>
      </c>
      <c r="S232" s="54">
        <f t="shared" si="58"/>
        <v>342843.50937853981</v>
      </c>
      <c r="T232" s="81">
        <f t="shared" si="59"/>
        <v>200031.75610646012</v>
      </c>
      <c r="U232" s="82">
        <f t="shared" si="60"/>
        <v>2035</v>
      </c>
      <c r="V232" s="414">
        <v>13.5</v>
      </c>
      <c r="W232" s="185"/>
      <c r="X232" s="185"/>
    </row>
    <row r="233" spans="1:24" s="113" customFormat="1" x14ac:dyDescent="0.2">
      <c r="A233" s="73">
        <v>163</v>
      </c>
      <c r="B233" s="74">
        <f t="shared" si="43"/>
        <v>0</v>
      </c>
      <c r="C233" s="75">
        <f t="shared" si="44"/>
        <v>0</v>
      </c>
      <c r="D233" s="75">
        <f t="shared" si="45"/>
        <v>159.28389816204339</v>
      </c>
      <c r="E233" s="54">
        <f t="shared" si="49"/>
        <v>159.28389816204339</v>
      </c>
      <c r="F233" s="76">
        <f t="shared" si="62"/>
        <v>29984.524115705779</v>
      </c>
      <c r="G233" s="77">
        <f t="shared" si="61"/>
        <v>325.0289117714949</v>
      </c>
      <c r="H233" s="79">
        <f t="shared" si="50"/>
        <v>52979.712618753612</v>
      </c>
      <c r="I233" s="78">
        <f t="shared" si="46"/>
        <v>165.74501360945152</v>
      </c>
      <c r="J233" s="76">
        <f t="shared" si="51"/>
        <v>55318.472222222219</v>
      </c>
      <c r="K233" s="80">
        <f t="shared" si="47"/>
        <v>106.18926544136225</v>
      </c>
      <c r="L233" s="78">
        <f t="shared" si="52"/>
        <v>6.8111585332906976</v>
      </c>
      <c r="M233" s="59">
        <f t="shared" si="48"/>
        <v>27443.599179323617</v>
      </c>
      <c r="N233" s="80">
        <f t="shared" si="53"/>
        <v>82762.071401545836</v>
      </c>
      <c r="O233" s="54">
        <f t="shared" si="54"/>
        <v>48147.031845721169</v>
      </c>
      <c r="P233" s="54">
        <f t="shared" si="55"/>
        <v>2574.8803339999995</v>
      </c>
      <c r="Q233" s="54">
        <f t="shared" si="56"/>
        <v>426773.57600153901</v>
      </c>
      <c r="R233" s="54">
        <f t="shared" si="57"/>
        <v>248276.54270473716</v>
      </c>
      <c r="S233" s="54">
        <f t="shared" si="58"/>
        <v>344011.50459999318</v>
      </c>
      <c r="T233" s="81">
        <f t="shared" si="59"/>
        <v>200129.51085901601</v>
      </c>
      <c r="U233" s="82">
        <f t="shared" si="60"/>
        <v>2035</v>
      </c>
      <c r="V233" s="414">
        <v>13.5833333333333</v>
      </c>
      <c r="W233" s="185"/>
      <c r="X233" s="185"/>
    </row>
    <row r="234" spans="1:24" s="113" customFormat="1" x14ac:dyDescent="0.2">
      <c r="A234" s="73">
        <v>164</v>
      </c>
      <c r="B234" s="74">
        <f t="shared" si="43"/>
        <v>0</v>
      </c>
      <c r="C234" s="75">
        <f t="shared" si="44"/>
        <v>0</v>
      </c>
      <c r="D234" s="75">
        <f t="shared" si="45"/>
        <v>159.28389816204339</v>
      </c>
      <c r="E234" s="54">
        <f t="shared" si="49"/>
        <v>159.28389816204339</v>
      </c>
      <c r="F234" s="76">
        <f t="shared" si="62"/>
        <v>30143.808013867823</v>
      </c>
      <c r="G234" s="77">
        <f t="shared" si="61"/>
        <v>325.0289117714949</v>
      </c>
      <c r="H234" s="79">
        <f t="shared" si="50"/>
        <v>53304.741530525105</v>
      </c>
      <c r="I234" s="78">
        <f t="shared" si="46"/>
        <v>165.74501360945152</v>
      </c>
      <c r="J234" s="76">
        <f t="shared" si="51"/>
        <v>55318.472222222219</v>
      </c>
      <c r="K234" s="80">
        <f t="shared" si="47"/>
        <v>106.18926544136225</v>
      </c>
      <c r="L234" s="78">
        <f t="shared" si="52"/>
        <v>6.8111585332906976</v>
      </c>
      <c r="M234" s="59">
        <f t="shared" si="48"/>
        <v>27443.599179323617</v>
      </c>
      <c r="N234" s="80">
        <f t="shared" si="53"/>
        <v>82762.071401545836</v>
      </c>
      <c r="O234" s="54">
        <f t="shared" si="54"/>
        <v>48007.011395816691</v>
      </c>
      <c r="P234" s="54">
        <f t="shared" si="55"/>
        <v>2581.9272743333327</v>
      </c>
      <c r="Q234" s="54">
        <f t="shared" si="56"/>
        <v>427941.57122299226</v>
      </c>
      <c r="R234" s="54">
        <f t="shared" si="57"/>
        <v>248232.01665373208</v>
      </c>
      <c r="S234" s="54">
        <f t="shared" si="58"/>
        <v>345179.49982144643</v>
      </c>
      <c r="T234" s="81">
        <f t="shared" si="59"/>
        <v>200225.00525791539</v>
      </c>
      <c r="U234" s="82">
        <f t="shared" si="60"/>
        <v>2035</v>
      </c>
      <c r="V234" s="414">
        <v>13.6666666666666</v>
      </c>
      <c r="W234" s="185"/>
      <c r="X234" s="185"/>
    </row>
    <row r="235" spans="1:24" s="113" customFormat="1" x14ac:dyDescent="0.2">
      <c r="A235" s="73">
        <v>165</v>
      </c>
      <c r="B235" s="74">
        <f t="shared" si="43"/>
        <v>0</v>
      </c>
      <c r="C235" s="75">
        <f t="shared" si="44"/>
        <v>0</v>
      </c>
      <c r="D235" s="75">
        <f t="shared" si="45"/>
        <v>159.28389816204339</v>
      </c>
      <c r="E235" s="54">
        <f t="shared" si="49"/>
        <v>159.28389816204339</v>
      </c>
      <c r="F235" s="76">
        <f t="shared" si="62"/>
        <v>30303.091912029868</v>
      </c>
      <c r="G235" s="77">
        <f t="shared" si="61"/>
        <v>325.0289117714949</v>
      </c>
      <c r="H235" s="79">
        <f t="shared" si="50"/>
        <v>53629.770442296598</v>
      </c>
      <c r="I235" s="78">
        <f t="shared" si="46"/>
        <v>165.74501360945152</v>
      </c>
      <c r="J235" s="76">
        <f t="shared" si="51"/>
        <v>55318.472222222219</v>
      </c>
      <c r="K235" s="80">
        <f t="shared" si="47"/>
        <v>106.18926544136225</v>
      </c>
      <c r="L235" s="78">
        <f t="shared" si="52"/>
        <v>6.8111585332906976</v>
      </c>
      <c r="M235" s="59">
        <f t="shared" si="48"/>
        <v>27443.599179323617</v>
      </c>
      <c r="N235" s="80">
        <f t="shared" si="53"/>
        <v>82762.071401545836</v>
      </c>
      <c r="O235" s="54">
        <f t="shared" si="54"/>
        <v>47867.39815120901</v>
      </c>
      <c r="P235" s="54">
        <f t="shared" si="55"/>
        <v>2588.9742146666663</v>
      </c>
      <c r="Q235" s="54">
        <f t="shared" si="56"/>
        <v>429109.56644444563</v>
      </c>
      <c r="R235" s="54">
        <f t="shared" si="57"/>
        <v>248185.64977465392</v>
      </c>
      <c r="S235" s="54">
        <f t="shared" si="58"/>
        <v>346347.4950428998</v>
      </c>
      <c r="T235" s="81">
        <f t="shared" si="59"/>
        <v>200318.25162344493</v>
      </c>
      <c r="U235" s="82">
        <f t="shared" si="60"/>
        <v>2035</v>
      </c>
      <c r="V235" s="414">
        <v>13.75</v>
      </c>
      <c r="W235" s="185"/>
      <c r="X235" s="185"/>
    </row>
    <row r="236" spans="1:24" s="113" customFormat="1" x14ac:dyDescent="0.2">
      <c r="A236" s="73">
        <v>166</v>
      </c>
      <c r="B236" s="74">
        <f t="shared" si="43"/>
        <v>0</v>
      </c>
      <c r="C236" s="75">
        <f t="shared" si="44"/>
        <v>0</v>
      </c>
      <c r="D236" s="75">
        <f t="shared" si="45"/>
        <v>159.28389816204339</v>
      </c>
      <c r="E236" s="54">
        <f t="shared" si="49"/>
        <v>159.28389816204339</v>
      </c>
      <c r="F236" s="76">
        <f t="shared" si="62"/>
        <v>30462.375810191912</v>
      </c>
      <c r="G236" s="77">
        <f t="shared" si="61"/>
        <v>325.0289117714949</v>
      </c>
      <c r="H236" s="79">
        <f t="shared" si="50"/>
        <v>53954.799354068091</v>
      </c>
      <c r="I236" s="78">
        <f t="shared" si="46"/>
        <v>165.74501360945152</v>
      </c>
      <c r="J236" s="76">
        <f t="shared" si="51"/>
        <v>55318.472222222219</v>
      </c>
      <c r="K236" s="80">
        <f t="shared" si="47"/>
        <v>106.18926544136225</v>
      </c>
      <c r="L236" s="78">
        <f t="shared" si="52"/>
        <v>6.8111585332906976</v>
      </c>
      <c r="M236" s="59">
        <f t="shared" si="48"/>
        <v>27443.599179323617</v>
      </c>
      <c r="N236" s="80">
        <f t="shared" si="53"/>
        <v>82762.071401545836</v>
      </c>
      <c r="O236" s="54">
        <f t="shared" si="54"/>
        <v>47728.190927669973</v>
      </c>
      <c r="P236" s="54">
        <f t="shared" si="55"/>
        <v>2596.0211549999995</v>
      </c>
      <c r="Q236" s="54">
        <f t="shared" si="56"/>
        <v>430277.56166589895</v>
      </c>
      <c r="R236" s="54">
        <f t="shared" si="57"/>
        <v>248137.45315101833</v>
      </c>
      <c r="S236" s="54">
        <f t="shared" si="58"/>
        <v>347515.49026435311</v>
      </c>
      <c r="T236" s="81">
        <f t="shared" si="59"/>
        <v>200409.26222334837</v>
      </c>
      <c r="U236" s="82">
        <f t="shared" si="60"/>
        <v>2035</v>
      </c>
      <c r="V236" s="414">
        <v>13.8333333333333</v>
      </c>
      <c r="W236" s="185"/>
      <c r="X236" s="185"/>
    </row>
    <row r="237" spans="1:24" s="113" customFormat="1" x14ac:dyDescent="0.2">
      <c r="A237" s="73">
        <v>167</v>
      </c>
      <c r="B237" s="74">
        <f t="shared" si="43"/>
        <v>0</v>
      </c>
      <c r="C237" s="75">
        <f t="shared" si="44"/>
        <v>0</v>
      </c>
      <c r="D237" s="75">
        <f t="shared" si="45"/>
        <v>159.28389816204339</v>
      </c>
      <c r="E237" s="54">
        <f t="shared" si="49"/>
        <v>159.28389816204339</v>
      </c>
      <c r="F237" s="76">
        <f t="shared" si="62"/>
        <v>30621.659708353956</v>
      </c>
      <c r="G237" s="77">
        <f t="shared" si="61"/>
        <v>325.0289117714949</v>
      </c>
      <c r="H237" s="79">
        <f t="shared" si="50"/>
        <v>54279.828265839584</v>
      </c>
      <c r="I237" s="78">
        <f t="shared" si="46"/>
        <v>165.74501360945152</v>
      </c>
      <c r="J237" s="76">
        <f t="shared" si="51"/>
        <v>55318.472222222219</v>
      </c>
      <c r="K237" s="80">
        <f t="shared" si="47"/>
        <v>106.18926544136225</v>
      </c>
      <c r="L237" s="78">
        <f t="shared" si="52"/>
        <v>6.8111585332906976</v>
      </c>
      <c r="M237" s="59">
        <f t="shared" si="48"/>
        <v>27443.599179323617</v>
      </c>
      <c r="N237" s="80">
        <f t="shared" si="53"/>
        <v>82762.071401545836</v>
      </c>
      <c r="O237" s="54">
        <f t="shared" si="54"/>
        <v>47589.388544415422</v>
      </c>
      <c r="P237" s="54">
        <f t="shared" si="55"/>
        <v>2603.0680953333326</v>
      </c>
      <c r="Q237" s="54">
        <f t="shared" si="56"/>
        <v>431445.55688735226</v>
      </c>
      <c r="R237" s="54">
        <f t="shared" si="57"/>
        <v>248087.43781744438</v>
      </c>
      <c r="S237" s="54">
        <f t="shared" si="58"/>
        <v>348683.48548580642</v>
      </c>
      <c r="T237" s="81">
        <f t="shared" si="59"/>
        <v>200498.04927302897</v>
      </c>
      <c r="U237" s="82">
        <f t="shared" si="60"/>
        <v>2035</v>
      </c>
      <c r="V237" s="414">
        <v>13.9166666666666</v>
      </c>
      <c r="W237" s="185"/>
      <c r="X237" s="185"/>
    </row>
    <row r="238" spans="1:24" s="113" customFormat="1" x14ac:dyDescent="0.2">
      <c r="A238" s="73">
        <v>168</v>
      </c>
      <c r="B238" s="74">
        <f t="shared" si="43"/>
        <v>0</v>
      </c>
      <c r="C238" s="75">
        <f t="shared" si="44"/>
        <v>0</v>
      </c>
      <c r="D238" s="75">
        <f t="shared" si="45"/>
        <v>159.28389816204339</v>
      </c>
      <c r="E238" s="54">
        <f t="shared" si="49"/>
        <v>159.28389816204339</v>
      </c>
      <c r="F238" s="76">
        <f t="shared" si="62"/>
        <v>30780.943606516001</v>
      </c>
      <c r="G238" s="77">
        <f t="shared" si="61"/>
        <v>325.0289117714949</v>
      </c>
      <c r="H238" s="79">
        <f t="shared" si="50"/>
        <v>54604.857177611077</v>
      </c>
      <c r="I238" s="78">
        <f t="shared" si="46"/>
        <v>165.74501360945152</v>
      </c>
      <c r="J238" s="76">
        <f t="shared" si="51"/>
        <v>55318.472222222219</v>
      </c>
      <c r="K238" s="80">
        <f t="shared" si="47"/>
        <v>106.18926544136225</v>
      </c>
      <c r="L238" s="78">
        <f t="shared" si="52"/>
        <v>6.8111585332906976</v>
      </c>
      <c r="M238" s="59">
        <f t="shared" si="48"/>
        <v>27443.599179323617</v>
      </c>
      <c r="N238" s="80">
        <f t="shared" si="53"/>
        <v>82762.071401545836</v>
      </c>
      <c r="O238" s="54">
        <f t="shared" si="54"/>
        <v>47450.989824095137</v>
      </c>
      <c r="P238" s="54">
        <f t="shared" si="55"/>
        <v>2610.1150356666662</v>
      </c>
      <c r="Q238" s="54">
        <f t="shared" si="56"/>
        <v>432613.55210880563</v>
      </c>
      <c r="R238" s="54">
        <f t="shared" si="57"/>
        <v>248035.61475984473</v>
      </c>
      <c r="S238" s="54">
        <f t="shared" si="58"/>
        <v>349851.48070725979</v>
      </c>
      <c r="T238" s="81">
        <f t="shared" si="59"/>
        <v>200584.6249357496</v>
      </c>
      <c r="U238" s="82">
        <f t="shared" si="60"/>
        <v>2035</v>
      </c>
      <c r="V238" s="414">
        <v>14</v>
      </c>
      <c r="W238" s="185"/>
      <c r="X238" s="185"/>
    </row>
    <row r="239" spans="1:24" s="113" customFormat="1" x14ac:dyDescent="0.2">
      <c r="A239" s="73">
        <v>169</v>
      </c>
      <c r="B239" s="74">
        <f t="shared" si="43"/>
        <v>0</v>
      </c>
      <c r="C239" s="75">
        <f t="shared" si="44"/>
        <v>0</v>
      </c>
      <c r="D239" s="75">
        <f t="shared" si="45"/>
        <v>159.28389816204339</v>
      </c>
      <c r="E239" s="54">
        <f t="shared" si="49"/>
        <v>159.28389816204339</v>
      </c>
      <c r="F239" s="76">
        <f t="shared" si="62"/>
        <v>30940.227504678045</v>
      </c>
      <c r="G239" s="77">
        <f t="shared" si="61"/>
        <v>325.0289117714949</v>
      </c>
      <c r="H239" s="79">
        <f t="shared" si="50"/>
        <v>54929.886089382569</v>
      </c>
      <c r="I239" s="78">
        <f t="shared" si="46"/>
        <v>165.74501360945152</v>
      </c>
      <c r="J239" s="76">
        <f t="shared" si="51"/>
        <v>55318.472222222219</v>
      </c>
      <c r="K239" s="80">
        <f t="shared" si="47"/>
        <v>106.18926544136225</v>
      </c>
      <c r="L239" s="78">
        <f t="shared" si="52"/>
        <v>6.8111585332906976</v>
      </c>
      <c r="M239" s="59">
        <f t="shared" si="48"/>
        <v>27443.599179323617</v>
      </c>
      <c r="N239" s="80">
        <f t="shared" si="53"/>
        <v>82762.071401545836</v>
      </c>
      <c r="O239" s="54">
        <f t="shared" si="54"/>
        <v>47312.993592782877</v>
      </c>
      <c r="P239" s="54">
        <f t="shared" si="55"/>
        <v>2617.1619759999994</v>
      </c>
      <c r="Q239" s="54">
        <f t="shared" si="56"/>
        <v>433781.54733025894</v>
      </c>
      <c r="R239" s="54">
        <f t="shared" si="57"/>
        <v>247981.99491561594</v>
      </c>
      <c r="S239" s="54">
        <f t="shared" si="58"/>
        <v>351019.4759287131</v>
      </c>
      <c r="T239" s="81">
        <f t="shared" si="59"/>
        <v>200669.00132283306</v>
      </c>
      <c r="U239" s="376">
        <f t="shared" si="60"/>
        <v>2036</v>
      </c>
      <c r="V239" s="414">
        <v>14.0833333333333</v>
      </c>
      <c r="W239" s="185"/>
      <c r="X239" s="185"/>
    </row>
    <row r="240" spans="1:24" s="113" customFormat="1" x14ac:dyDescent="0.2">
      <c r="A240" s="73">
        <v>170</v>
      </c>
      <c r="B240" s="74">
        <f t="shared" si="43"/>
        <v>0</v>
      </c>
      <c r="C240" s="75">
        <f t="shared" si="44"/>
        <v>0</v>
      </c>
      <c r="D240" s="75">
        <f t="shared" si="45"/>
        <v>159.28389816204339</v>
      </c>
      <c r="E240" s="54">
        <f t="shared" si="49"/>
        <v>159.28389816204339</v>
      </c>
      <c r="F240" s="76">
        <f t="shared" si="62"/>
        <v>31099.511402840089</v>
      </c>
      <c r="G240" s="77">
        <f t="shared" si="61"/>
        <v>325.0289117714949</v>
      </c>
      <c r="H240" s="79">
        <f t="shared" si="50"/>
        <v>55254.915001154062</v>
      </c>
      <c r="I240" s="78">
        <f t="shared" si="46"/>
        <v>165.74501360945152</v>
      </c>
      <c r="J240" s="76">
        <f t="shared" si="51"/>
        <v>55318.472222222219</v>
      </c>
      <c r="K240" s="80">
        <f t="shared" si="47"/>
        <v>106.18926544136225</v>
      </c>
      <c r="L240" s="78">
        <f t="shared" si="52"/>
        <v>6.8111585332906976</v>
      </c>
      <c r="M240" s="59">
        <f t="shared" si="48"/>
        <v>27443.599179323617</v>
      </c>
      <c r="N240" s="80">
        <f t="shared" si="53"/>
        <v>82762.071401545836</v>
      </c>
      <c r="O240" s="54">
        <f t="shared" si="54"/>
        <v>47175.398679966303</v>
      </c>
      <c r="P240" s="54">
        <f t="shared" si="55"/>
        <v>2624.208916333333</v>
      </c>
      <c r="Q240" s="54">
        <f t="shared" si="56"/>
        <v>434949.54255171231</v>
      </c>
      <c r="R240" s="54">
        <f t="shared" si="57"/>
        <v>247926.58917382709</v>
      </c>
      <c r="S240" s="54">
        <f t="shared" si="58"/>
        <v>352187.47115016647</v>
      </c>
      <c r="T240" s="81">
        <f t="shared" si="59"/>
        <v>200751.19049386078</v>
      </c>
      <c r="U240" s="82">
        <f t="shared" si="60"/>
        <v>2036</v>
      </c>
      <c r="V240" s="414">
        <v>14.1666666666666</v>
      </c>
      <c r="W240" s="185"/>
      <c r="X240" s="185"/>
    </row>
    <row r="241" spans="1:24" s="113" customFormat="1" x14ac:dyDescent="0.2">
      <c r="A241" s="73">
        <v>171</v>
      </c>
      <c r="B241" s="74">
        <f t="shared" si="43"/>
        <v>0</v>
      </c>
      <c r="C241" s="75">
        <f t="shared" si="44"/>
        <v>0</v>
      </c>
      <c r="D241" s="75">
        <f t="shared" si="45"/>
        <v>159.28389816204339</v>
      </c>
      <c r="E241" s="54">
        <f t="shared" si="49"/>
        <v>159.28389816204339</v>
      </c>
      <c r="F241" s="76">
        <f t="shared" si="62"/>
        <v>31258.795301002134</v>
      </c>
      <c r="G241" s="77">
        <f t="shared" si="61"/>
        <v>325.0289117714949</v>
      </c>
      <c r="H241" s="79">
        <f t="shared" si="50"/>
        <v>55579.943912925555</v>
      </c>
      <c r="I241" s="78">
        <f t="shared" si="46"/>
        <v>165.74501360945152</v>
      </c>
      <c r="J241" s="76">
        <f t="shared" si="51"/>
        <v>55318.472222222219</v>
      </c>
      <c r="K241" s="80">
        <f t="shared" si="47"/>
        <v>106.18926544136225</v>
      </c>
      <c r="L241" s="78">
        <f t="shared" si="52"/>
        <v>6.8111585332906976</v>
      </c>
      <c r="M241" s="59">
        <f t="shared" si="48"/>
        <v>27443.599179323617</v>
      </c>
      <c r="N241" s="80">
        <f t="shared" si="53"/>
        <v>82762.071401545836</v>
      </c>
      <c r="O241" s="54">
        <f t="shared" si="54"/>
        <v>47038.203918537234</v>
      </c>
      <c r="P241" s="54">
        <f t="shared" si="55"/>
        <v>2631.2558566666662</v>
      </c>
      <c r="Q241" s="54">
        <f t="shared" si="56"/>
        <v>436117.53777316562</v>
      </c>
      <c r="R241" s="54">
        <f t="shared" si="57"/>
        <v>247869.40837540908</v>
      </c>
      <c r="S241" s="54">
        <f t="shared" si="58"/>
        <v>353355.46637161978</v>
      </c>
      <c r="T241" s="81">
        <f t="shared" si="59"/>
        <v>200831.20445687184</v>
      </c>
      <c r="U241" s="82">
        <f t="shared" si="60"/>
        <v>2036</v>
      </c>
      <c r="V241" s="414">
        <v>14.25</v>
      </c>
      <c r="W241" s="185"/>
      <c r="X241" s="185"/>
    </row>
    <row r="242" spans="1:24" s="113" customFormat="1" x14ac:dyDescent="0.2">
      <c r="A242" s="73">
        <v>172</v>
      </c>
      <c r="B242" s="74">
        <f t="shared" si="43"/>
        <v>0</v>
      </c>
      <c r="C242" s="75">
        <f t="shared" si="44"/>
        <v>0</v>
      </c>
      <c r="D242" s="75">
        <f t="shared" si="45"/>
        <v>159.28389816204339</v>
      </c>
      <c r="E242" s="54">
        <f t="shared" si="49"/>
        <v>159.28389816204339</v>
      </c>
      <c r="F242" s="76">
        <f t="shared" si="62"/>
        <v>31418.079199164178</v>
      </c>
      <c r="G242" s="77">
        <f t="shared" si="61"/>
        <v>325.0289117714949</v>
      </c>
      <c r="H242" s="79">
        <f t="shared" si="50"/>
        <v>55904.972824697048</v>
      </c>
      <c r="I242" s="78">
        <f t="shared" si="46"/>
        <v>165.74501360945152</v>
      </c>
      <c r="J242" s="76">
        <f t="shared" si="51"/>
        <v>55318.472222222219</v>
      </c>
      <c r="K242" s="80">
        <f t="shared" si="47"/>
        <v>106.18926544136225</v>
      </c>
      <c r="L242" s="78">
        <f t="shared" si="52"/>
        <v>6.8111585332906976</v>
      </c>
      <c r="M242" s="59">
        <f t="shared" si="48"/>
        <v>27443.599179323617</v>
      </c>
      <c r="N242" s="80">
        <f t="shared" si="53"/>
        <v>82762.071401545836</v>
      </c>
      <c r="O242" s="54">
        <f t="shared" si="54"/>
        <v>46901.408144781628</v>
      </c>
      <c r="P242" s="54">
        <f t="shared" si="55"/>
        <v>2638.3027969999994</v>
      </c>
      <c r="Q242" s="54">
        <f t="shared" si="56"/>
        <v>437285.53299461893</v>
      </c>
      <c r="R242" s="54">
        <f t="shared" si="57"/>
        <v>247810.46331334233</v>
      </c>
      <c r="S242" s="54">
        <f t="shared" si="58"/>
        <v>354523.46159307309</v>
      </c>
      <c r="T242" s="81">
        <f t="shared" si="59"/>
        <v>200909.05516856074</v>
      </c>
      <c r="U242" s="82">
        <f t="shared" si="60"/>
        <v>2036</v>
      </c>
      <c r="V242" s="414">
        <v>14.3333333333333</v>
      </c>
      <c r="W242" s="185"/>
      <c r="X242" s="185"/>
    </row>
    <row r="243" spans="1:24" s="113" customFormat="1" x14ac:dyDescent="0.2">
      <c r="A243" s="73">
        <v>173</v>
      </c>
      <c r="B243" s="74">
        <f t="shared" si="43"/>
        <v>0</v>
      </c>
      <c r="C243" s="75">
        <f t="shared" si="44"/>
        <v>0</v>
      </c>
      <c r="D243" s="75">
        <f t="shared" si="45"/>
        <v>159.28389816204339</v>
      </c>
      <c r="E243" s="54">
        <f t="shared" si="49"/>
        <v>159.28389816204339</v>
      </c>
      <c r="F243" s="76">
        <f t="shared" si="62"/>
        <v>31577.363097326222</v>
      </c>
      <c r="G243" s="77">
        <f t="shared" si="61"/>
        <v>325.0289117714949</v>
      </c>
      <c r="H243" s="79">
        <f t="shared" si="50"/>
        <v>56230.001736468541</v>
      </c>
      <c r="I243" s="78">
        <f t="shared" si="46"/>
        <v>165.74501360945152</v>
      </c>
      <c r="J243" s="76">
        <f t="shared" si="51"/>
        <v>55318.472222222219</v>
      </c>
      <c r="K243" s="80">
        <f t="shared" si="47"/>
        <v>106.18926544136225</v>
      </c>
      <c r="L243" s="78">
        <f t="shared" si="52"/>
        <v>6.8111585332906976</v>
      </c>
      <c r="M243" s="59">
        <f t="shared" si="48"/>
        <v>27443.599179323617</v>
      </c>
      <c r="N243" s="80">
        <f t="shared" si="53"/>
        <v>82762.071401545836</v>
      </c>
      <c r="O243" s="54">
        <f t="shared" si="54"/>
        <v>46765.010198369717</v>
      </c>
      <c r="P243" s="54">
        <f t="shared" si="55"/>
        <v>2645.349737333333</v>
      </c>
      <c r="Q243" s="54">
        <f t="shared" si="56"/>
        <v>438453.5282160723</v>
      </c>
      <c r="R243" s="54">
        <f t="shared" si="57"/>
        <v>247749.76473284385</v>
      </c>
      <c r="S243" s="54">
        <f t="shared" si="58"/>
        <v>355691.45681452646</v>
      </c>
      <c r="T243" s="81">
        <f t="shared" si="59"/>
        <v>200984.75453447414</v>
      </c>
      <c r="U243" s="82">
        <f t="shared" si="60"/>
        <v>2036</v>
      </c>
      <c r="V243" s="414">
        <v>14.4166666666666</v>
      </c>
      <c r="W243" s="185"/>
      <c r="X243" s="185"/>
    </row>
    <row r="244" spans="1:24" s="113" customFormat="1" x14ac:dyDescent="0.2">
      <c r="A244" s="73">
        <v>174</v>
      </c>
      <c r="B244" s="74">
        <f t="shared" si="43"/>
        <v>0</v>
      </c>
      <c r="C244" s="75">
        <f t="shared" si="44"/>
        <v>0</v>
      </c>
      <c r="D244" s="75">
        <f t="shared" si="45"/>
        <v>159.28389816204339</v>
      </c>
      <c r="E244" s="54">
        <f t="shared" si="49"/>
        <v>159.28389816204339</v>
      </c>
      <c r="F244" s="76">
        <f t="shared" si="62"/>
        <v>31736.646995488267</v>
      </c>
      <c r="G244" s="77">
        <f t="shared" si="61"/>
        <v>325.0289117714949</v>
      </c>
      <c r="H244" s="79">
        <f t="shared" si="50"/>
        <v>56555.030648240034</v>
      </c>
      <c r="I244" s="78">
        <f t="shared" si="46"/>
        <v>165.74501360945152</v>
      </c>
      <c r="J244" s="76">
        <f t="shared" si="51"/>
        <v>55318.472222222219</v>
      </c>
      <c r="K244" s="80">
        <f t="shared" si="47"/>
        <v>106.18926544136225</v>
      </c>
      <c r="L244" s="78">
        <f t="shared" si="52"/>
        <v>6.8111585332906976</v>
      </c>
      <c r="M244" s="59">
        <f t="shared" si="48"/>
        <v>27443.599179323617</v>
      </c>
      <c r="N244" s="80">
        <f t="shared" si="53"/>
        <v>82762.071401545836</v>
      </c>
      <c r="O244" s="54">
        <f t="shared" si="54"/>
        <v>46629.008922346198</v>
      </c>
      <c r="P244" s="54">
        <f t="shared" si="55"/>
        <v>2652.3966776666662</v>
      </c>
      <c r="Q244" s="54">
        <f t="shared" si="56"/>
        <v>439621.52343752555</v>
      </c>
      <c r="R244" s="54">
        <f t="shared" si="57"/>
        <v>247687.32333155361</v>
      </c>
      <c r="S244" s="54">
        <f t="shared" si="58"/>
        <v>356859.45203597972</v>
      </c>
      <c r="T244" s="81">
        <f t="shared" si="59"/>
        <v>201058.31440920738</v>
      </c>
      <c r="U244" s="82">
        <f t="shared" si="60"/>
        <v>2036</v>
      </c>
      <c r="V244" s="414">
        <v>14.5</v>
      </c>
      <c r="W244" s="185"/>
      <c r="X244" s="185"/>
    </row>
    <row r="245" spans="1:24" s="113" customFormat="1" x14ac:dyDescent="0.2">
      <c r="A245" s="73">
        <v>175</v>
      </c>
      <c r="B245" s="74">
        <f t="shared" si="43"/>
        <v>0</v>
      </c>
      <c r="C245" s="75">
        <f t="shared" si="44"/>
        <v>0</v>
      </c>
      <c r="D245" s="75">
        <f t="shared" si="45"/>
        <v>159.28389816204339</v>
      </c>
      <c r="E245" s="54">
        <f t="shared" si="49"/>
        <v>159.28389816204339</v>
      </c>
      <c r="F245" s="76">
        <f t="shared" si="62"/>
        <v>31895.930893650311</v>
      </c>
      <c r="G245" s="77">
        <f t="shared" si="61"/>
        <v>325.0289117714949</v>
      </c>
      <c r="H245" s="79">
        <f t="shared" si="50"/>
        <v>56880.059560011527</v>
      </c>
      <c r="I245" s="78">
        <f t="shared" si="46"/>
        <v>165.74501360945152</v>
      </c>
      <c r="J245" s="76">
        <f t="shared" si="51"/>
        <v>55318.472222222219</v>
      </c>
      <c r="K245" s="80">
        <f t="shared" si="47"/>
        <v>106.18926544136225</v>
      </c>
      <c r="L245" s="78">
        <f t="shared" si="52"/>
        <v>6.8111585332906976</v>
      </c>
      <c r="M245" s="59">
        <f t="shared" si="48"/>
        <v>27443.599179323617</v>
      </c>
      <c r="N245" s="80">
        <f t="shared" si="53"/>
        <v>82762.071401545836</v>
      </c>
      <c r="O245" s="54">
        <f t="shared" si="54"/>
        <v>46493.403163120442</v>
      </c>
      <c r="P245" s="54">
        <f t="shared" si="55"/>
        <v>2659.4436179999998</v>
      </c>
      <c r="Q245" s="54">
        <f t="shared" si="56"/>
        <v>440789.51865897892</v>
      </c>
      <c r="R245" s="54">
        <f t="shared" si="57"/>
        <v>247623.14975972101</v>
      </c>
      <c r="S245" s="54">
        <f t="shared" si="58"/>
        <v>358027.44725743309</v>
      </c>
      <c r="T245" s="81">
        <f t="shared" si="59"/>
        <v>201129.74659660057</v>
      </c>
      <c r="U245" s="82">
        <f t="shared" si="60"/>
        <v>2036</v>
      </c>
      <c r="V245" s="414">
        <v>14.5833333333333</v>
      </c>
      <c r="W245" s="185"/>
      <c r="X245" s="185"/>
    </row>
    <row r="246" spans="1:24" s="113" customFormat="1" x14ac:dyDescent="0.2">
      <c r="A246" s="73">
        <v>176</v>
      </c>
      <c r="B246" s="74">
        <f t="shared" si="43"/>
        <v>0</v>
      </c>
      <c r="C246" s="75">
        <f t="shared" si="44"/>
        <v>0</v>
      </c>
      <c r="D246" s="75">
        <f t="shared" si="45"/>
        <v>159.28389816204339</v>
      </c>
      <c r="E246" s="54">
        <f t="shared" si="49"/>
        <v>159.28389816204339</v>
      </c>
      <c r="F246" s="76">
        <f t="shared" si="62"/>
        <v>32055.214791812356</v>
      </c>
      <c r="G246" s="77">
        <f t="shared" si="61"/>
        <v>325.0289117714949</v>
      </c>
      <c r="H246" s="79">
        <f t="shared" si="50"/>
        <v>57205.088471783019</v>
      </c>
      <c r="I246" s="78">
        <f t="shared" si="46"/>
        <v>165.74501360945152</v>
      </c>
      <c r="J246" s="76">
        <f t="shared" si="51"/>
        <v>55318.472222222219</v>
      </c>
      <c r="K246" s="80">
        <f t="shared" si="47"/>
        <v>106.18926544136225</v>
      </c>
      <c r="L246" s="78">
        <f t="shared" si="52"/>
        <v>6.8111585332906976</v>
      </c>
      <c r="M246" s="59">
        <f t="shared" si="48"/>
        <v>27443.599179323617</v>
      </c>
      <c r="N246" s="80">
        <f t="shared" si="53"/>
        <v>82762.071401545836</v>
      </c>
      <c r="O246" s="54">
        <f t="shared" si="54"/>
        <v>46358.191770456593</v>
      </c>
      <c r="P246" s="54">
        <f t="shared" si="55"/>
        <v>2666.490558333333</v>
      </c>
      <c r="Q246" s="54">
        <f t="shared" si="56"/>
        <v>441957.51388043223</v>
      </c>
      <c r="R246" s="54">
        <f t="shared" si="57"/>
        <v>247557.25462038914</v>
      </c>
      <c r="S246" s="54">
        <f t="shared" si="58"/>
        <v>359195.4424788864</v>
      </c>
      <c r="T246" s="81">
        <f t="shared" si="59"/>
        <v>201199.06284993255</v>
      </c>
      <c r="U246" s="82">
        <f t="shared" si="60"/>
        <v>2036</v>
      </c>
      <c r="V246" s="414">
        <v>14.6666666666666</v>
      </c>
      <c r="W246" s="185"/>
      <c r="X246" s="185"/>
    </row>
    <row r="247" spans="1:24" s="113" customFormat="1" x14ac:dyDescent="0.2">
      <c r="A247" s="73">
        <v>177</v>
      </c>
      <c r="B247" s="74">
        <f t="shared" si="43"/>
        <v>0</v>
      </c>
      <c r="C247" s="75">
        <f t="shared" si="44"/>
        <v>0</v>
      </c>
      <c r="D247" s="75">
        <f t="shared" si="45"/>
        <v>159.28389816204339</v>
      </c>
      <c r="E247" s="54">
        <f t="shared" si="49"/>
        <v>159.28389816204339</v>
      </c>
      <c r="F247" s="76">
        <f t="shared" si="62"/>
        <v>32214.4986899744</v>
      </c>
      <c r="G247" s="77">
        <f t="shared" si="61"/>
        <v>325.0289117714949</v>
      </c>
      <c r="H247" s="79">
        <f t="shared" si="50"/>
        <v>57530.117383554512</v>
      </c>
      <c r="I247" s="78">
        <f t="shared" si="46"/>
        <v>165.74501360945152</v>
      </c>
      <c r="J247" s="76">
        <f t="shared" si="51"/>
        <v>55318.472222222219</v>
      </c>
      <c r="K247" s="80">
        <f t="shared" si="47"/>
        <v>106.18926544136225</v>
      </c>
      <c r="L247" s="78">
        <f t="shared" si="52"/>
        <v>6.8111585332906976</v>
      </c>
      <c r="M247" s="59">
        <f t="shared" si="48"/>
        <v>27443.599179323617</v>
      </c>
      <c r="N247" s="80">
        <f t="shared" si="53"/>
        <v>82762.071401545836</v>
      </c>
      <c r="O247" s="54">
        <f t="shared" si="54"/>
        <v>46223.373597464</v>
      </c>
      <c r="P247" s="54">
        <f t="shared" si="55"/>
        <v>2673.5374986666661</v>
      </c>
      <c r="Q247" s="54">
        <f t="shared" si="56"/>
        <v>443125.50910188555</v>
      </c>
      <c r="R247" s="54">
        <f t="shared" si="57"/>
        <v>247489.64846958037</v>
      </c>
      <c r="S247" s="54">
        <f t="shared" si="58"/>
        <v>360363.43770033971</v>
      </c>
      <c r="T247" s="81">
        <f t="shared" si="59"/>
        <v>201266.27487211637</v>
      </c>
      <c r="U247" s="82">
        <f t="shared" si="60"/>
        <v>2036</v>
      </c>
      <c r="V247" s="414">
        <v>14.75</v>
      </c>
      <c r="W247" s="185"/>
      <c r="X247" s="185"/>
    </row>
    <row r="248" spans="1:24" s="113" customFormat="1" x14ac:dyDescent="0.2">
      <c r="A248" s="73">
        <v>178</v>
      </c>
      <c r="B248" s="74">
        <f t="shared" si="43"/>
        <v>0</v>
      </c>
      <c r="C248" s="75">
        <f t="shared" si="44"/>
        <v>0</v>
      </c>
      <c r="D248" s="75">
        <f t="shared" si="45"/>
        <v>159.28389816204339</v>
      </c>
      <c r="E248" s="54">
        <f t="shared" si="49"/>
        <v>159.28389816204339</v>
      </c>
      <c r="F248" s="76">
        <f t="shared" si="62"/>
        <v>32373.782588136444</v>
      </c>
      <c r="G248" s="77">
        <f t="shared" si="61"/>
        <v>325.0289117714949</v>
      </c>
      <c r="H248" s="79">
        <f t="shared" si="50"/>
        <v>57855.146295326005</v>
      </c>
      <c r="I248" s="78">
        <f t="shared" si="46"/>
        <v>165.74501360945152</v>
      </c>
      <c r="J248" s="76">
        <f t="shared" si="51"/>
        <v>55318.472222222219</v>
      </c>
      <c r="K248" s="80">
        <f t="shared" si="47"/>
        <v>106.18926544136225</v>
      </c>
      <c r="L248" s="78">
        <f t="shared" si="52"/>
        <v>6.8111585332906976</v>
      </c>
      <c r="M248" s="59">
        <f t="shared" si="48"/>
        <v>27443.599179323617</v>
      </c>
      <c r="N248" s="80">
        <f t="shared" si="53"/>
        <v>82762.071401545836</v>
      </c>
      <c r="O248" s="54">
        <f t="shared" si="54"/>
        <v>46088.947500587281</v>
      </c>
      <c r="P248" s="54">
        <f t="shared" si="55"/>
        <v>2680.5844389999997</v>
      </c>
      <c r="Q248" s="54">
        <f t="shared" si="56"/>
        <v>444293.50432333892</v>
      </c>
      <c r="R248" s="54">
        <f t="shared" si="57"/>
        <v>247420.34181647905</v>
      </c>
      <c r="S248" s="54">
        <f t="shared" si="58"/>
        <v>361531.43292179308</v>
      </c>
      <c r="T248" s="81">
        <f t="shared" si="59"/>
        <v>201331.39431589175</v>
      </c>
      <c r="U248" s="82">
        <f t="shared" si="60"/>
        <v>2036</v>
      </c>
      <c r="V248" s="414">
        <v>14.8333333333333</v>
      </c>
      <c r="W248" s="185"/>
      <c r="X248" s="185"/>
    </row>
    <row r="249" spans="1:24" s="113" customFormat="1" x14ac:dyDescent="0.2">
      <c r="A249" s="73">
        <v>179</v>
      </c>
      <c r="B249" s="74">
        <f t="shared" si="43"/>
        <v>0</v>
      </c>
      <c r="C249" s="75">
        <f t="shared" si="44"/>
        <v>0</v>
      </c>
      <c r="D249" s="75">
        <f t="shared" si="45"/>
        <v>159.28389816204339</v>
      </c>
      <c r="E249" s="54">
        <f t="shared" si="49"/>
        <v>159.28389816204339</v>
      </c>
      <c r="F249" s="76">
        <f t="shared" si="62"/>
        <v>32533.066486298489</v>
      </c>
      <c r="G249" s="77">
        <f t="shared" si="61"/>
        <v>325.0289117714949</v>
      </c>
      <c r="H249" s="79">
        <f t="shared" si="50"/>
        <v>58180.175207097498</v>
      </c>
      <c r="I249" s="78">
        <f t="shared" si="46"/>
        <v>165.74501360945152</v>
      </c>
      <c r="J249" s="76">
        <f t="shared" si="51"/>
        <v>55318.472222222219</v>
      </c>
      <c r="K249" s="80">
        <f t="shared" si="47"/>
        <v>106.18926544136225</v>
      </c>
      <c r="L249" s="78">
        <f t="shared" si="52"/>
        <v>6.8111585332906976</v>
      </c>
      <c r="M249" s="59">
        <f t="shared" si="48"/>
        <v>27443.599179323617</v>
      </c>
      <c r="N249" s="80">
        <f t="shared" si="53"/>
        <v>82762.071401545836</v>
      </c>
      <c r="O249" s="54">
        <f t="shared" si="54"/>
        <v>45954.912339596798</v>
      </c>
      <c r="P249" s="54">
        <f t="shared" si="55"/>
        <v>2687.6313793333329</v>
      </c>
      <c r="Q249" s="54">
        <f t="shared" si="56"/>
        <v>445461.49954479223</v>
      </c>
      <c r="R249" s="54">
        <f t="shared" si="57"/>
        <v>247349.34512361544</v>
      </c>
      <c r="S249" s="54">
        <f t="shared" si="58"/>
        <v>362699.42814324639</v>
      </c>
      <c r="T249" s="81">
        <f t="shared" si="59"/>
        <v>201394.43278401866</v>
      </c>
      <c r="U249" s="82">
        <f t="shared" si="60"/>
        <v>2036</v>
      </c>
      <c r="V249" s="414">
        <v>14.9166666666666</v>
      </c>
      <c r="W249" s="185"/>
      <c r="X249" s="185"/>
    </row>
    <row r="250" spans="1:24" s="113" customFormat="1" x14ac:dyDescent="0.2">
      <c r="A250" s="73">
        <v>180</v>
      </c>
      <c r="B250" s="74">
        <f t="shared" si="43"/>
        <v>0</v>
      </c>
      <c r="C250" s="75">
        <f t="shared" si="44"/>
        <v>0</v>
      </c>
      <c r="D250" s="75">
        <f t="shared" si="45"/>
        <v>159.28389816204339</v>
      </c>
      <c r="E250" s="54">
        <f t="shared" si="49"/>
        <v>159.28389816204339</v>
      </c>
      <c r="F250" s="76">
        <f t="shared" si="62"/>
        <v>32692.350384460533</v>
      </c>
      <c r="G250" s="77">
        <f t="shared" si="61"/>
        <v>325.0289117714949</v>
      </c>
      <c r="H250" s="79">
        <f t="shared" si="50"/>
        <v>58505.204118868991</v>
      </c>
      <c r="I250" s="78">
        <f t="shared" si="46"/>
        <v>165.74501360945152</v>
      </c>
      <c r="J250" s="76">
        <f t="shared" si="51"/>
        <v>55318.472222222219</v>
      </c>
      <c r="K250" s="80">
        <f t="shared" si="47"/>
        <v>106.18926544136225</v>
      </c>
      <c r="L250" s="78">
        <f t="shared" si="52"/>
        <v>6.8111585332906976</v>
      </c>
      <c r="M250" s="59">
        <f t="shared" si="48"/>
        <v>27443.599179323617</v>
      </c>
      <c r="N250" s="80">
        <f t="shared" si="53"/>
        <v>82762.071401545836</v>
      </c>
      <c r="O250" s="54">
        <f t="shared" si="54"/>
        <v>45821.266977578845</v>
      </c>
      <c r="P250" s="54">
        <f t="shared" si="55"/>
        <v>2694.6783196666665</v>
      </c>
      <c r="Q250" s="54">
        <f t="shared" si="56"/>
        <v>446629.4947662456</v>
      </c>
      <c r="R250" s="54">
        <f t="shared" si="57"/>
        <v>247276.66880704783</v>
      </c>
      <c r="S250" s="54">
        <f t="shared" si="58"/>
        <v>363867.42336469976</v>
      </c>
      <c r="T250" s="81">
        <f t="shared" si="59"/>
        <v>201455.40182946899</v>
      </c>
      <c r="U250" s="82">
        <f t="shared" si="60"/>
        <v>2036</v>
      </c>
      <c r="V250" s="414">
        <v>15</v>
      </c>
      <c r="W250" s="185"/>
      <c r="X250" s="185"/>
    </row>
    <row r="251" spans="1:24" s="113" customFormat="1" x14ac:dyDescent="0.2">
      <c r="A251" s="73">
        <v>181</v>
      </c>
      <c r="B251" s="74">
        <f t="shared" si="43"/>
        <v>0</v>
      </c>
      <c r="C251" s="75">
        <f t="shared" si="44"/>
        <v>0</v>
      </c>
      <c r="D251" s="75">
        <f t="shared" si="45"/>
        <v>159.28389816204339</v>
      </c>
      <c r="E251" s="54">
        <f t="shared" si="49"/>
        <v>159.28389816204339</v>
      </c>
      <c r="F251" s="76">
        <f t="shared" si="62"/>
        <v>32851.634282622574</v>
      </c>
      <c r="G251" s="77">
        <f t="shared" si="61"/>
        <v>325.0289117714949</v>
      </c>
      <c r="H251" s="79">
        <f t="shared" si="50"/>
        <v>58830.233030640484</v>
      </c>
      <c r="I251" s="78">
        <f t="shared" si="46"/>
        <v>165.74501360945152</v>
      </c>
      <c r="J251" s="76">
        <f t="shared" si="51"/>
        <v>55318.472222222219</v>
      </c>
      <c r="K251" s="80">
        <f t="shared" si="47"/>
        <v>106.18926544136225</v>
      </c>
      <c r="L251" s="78">
        <f t="shared" si="52"/>
        <v>6.8111585332906976</v>
      </c>
      <c r="M251" s="59">
        <f t="shared" si="48"/>
        <v>27443.599179323617</v>
      </c>
      <c r="N251" s="80">
        <f t="shared" si="53"/>
        <v>82762.071401545836</v>
      </c>
      <c r="O251" s="54">
        <f t="shared" si="54"/>
        <v>45688.010280926152</v>
      </c>
      <c r="P251" s="54">
        <f t="shared" si="55"/>
        <v>2701.7252599999993</v>
      </c>
      <c r="Q251" s="54">
        <f t="shared" si="56"/>
        <v>447797.48998769879</v>
      </c>
      <c r="R251" s="54">
        <f t="shared" si="57"/>
        <v>247202.32323654447</v>
      </c>
      <c r="S251" s="54">
        <f t="shared" si="58"/>
        <v>365035.41858615295</v>
      </c>
      <c r="T251" s="81">
        <f t="shared" si="59"/>
        <v>201514.31295561831</v>
      </c>
      <c r="U251" s="376">
        <f t="shared" si="60"/>
        <v>2037</v>
      </c>
      <c r="V251" s="414">
        <v>15.0833333333333</v>
      </c>
      <c r="W251" s="185"/>
      <c r="X251" s="185"/>
    </row>
    <row r="252" spans="1:24" s="113" customFormat="1" x14ac:dyDescent="0.2">
      <c r="A252" s="73">
        <v>182</v>
      </c>
      <c r="B252" s="74">
        <f t="shared" si="43"/>
        <v>0</v>
      </c>
      <c r="C252" s="75">
        <f t="shared" si="44"/>
        <v>0</v>
      </c>
      <c r="D252" s="75">
        <f t="shared" si="45"/>
        <v>159.28389816204339</v>
      </c>
      <c r="E252" s="54">
        <f t="shared" si="49"/>
        <v>159.28389816204339</v>
      </c>
      <c r="F252" s="76">
        <f t="shared" si="62"/>
        <v>33010.918180784618</v>
      </c>
      <c r="G252" s="77">
        <f t="shared" si="61"/>
        <v>325.0289117714949</v>
      </c>
      <c r="H252" s="79">
        <f t="shared" si="50"/>
        <v>59155.261942411977</v>
      </c>
      <c r="I252" s="78">
        <f t="shared" si="46"/>
        <v>165.74501360945152</v>
      </c>
      <c r="J252" s="76">
        <f t="shared" si="51"/>
        <v>55318.472222222219</v>
      </c>
      <c r="K252" s="80">
        <f t="shared" si="47"/>
        <v>106.18926544136225</v>
      </c>
      <c r="L252" s="78">
        <f t="shared" si="52"/>
        <v>6.8111585332906976</v>
      </c>
      <c r="M252" s="59">
        <f t="shared" si="48"/>
        <v>27443.599179323617</v>
      </c>
      <c r="N252" s="80">
        <f t="shared" si="53"/>
        <v>82762.071401545836</v>
      </c>
      <c r="O252" s="54">
        <f t="shared" si="54"/>
        <v>45555.141119328116</v>
      </c>
      <c r="P252" s="54">
        <f t="shared" si="55"/>
        <v>2708.7722003333329</v>
      </c>
      <c r="Q252" s="54">
        <f t="shared" si="56"/>
        <v>448965.48520915222</v>
      </c>
      <c r="R252" s="54">
        <f t="shared" si="57"/>
        <v>247126.31873576491</v>
      </c>
      <c r="S252" s="54">
        <f t="shared" si="58"/>
        <v>366203.41380760638</v>
      </c>
      <c r="T252" s="81">
        <f t="shared" si="59"/>
        <v>201571.17761643679</v>
      </c>
      <c r="U252" s="82">
        <f t="shared" si="60"/>
        <v>2037</v>
      </c>
      <c r="V252" s="414">
        <v>15.1666666666666</v>
      </c>
      <c r="W252" s="185"/>
      <c r="X252" s="185"/>
    </row>
    <row r="253" spans="1:24" s="113" customFormat="1" x14ac:dyDescent="0.2">
      <c r="A253" s="73">
        <v>183</v>
      </c>
      <c r="B253" s="74">
        <f t="shared" si="43"/>
        <v>0</v>
      </c>
      <c r="C253" s="75">
        <f t="shared" si="44"/>
        <v>0</v>
      </c>
      <c r="D253" s="75">
        <f t="shared" si="45"/>
        <v>159.28389816204339</v>
      </c>
      <c r="E253" s="54">
        <f t="shared" si="49"/>
        <v>159.28389816204339</v>
      </c>
      <c r="F253" s="76">
        <f t="shared" si="62"/>
        <v>33170.202078946662</v>
      </c>
      <c r="G253" s="77">
        <f t="shared" si="61"/>
        <v>325.0289117714949</v>
      </c>
      <c r="H253" s="79">
        <f t="shared" si="50"/>
        <v>59480.290854183469</v>
      </c>
      <c r="I253" s="78">
        <f t="shared" si="46"/>
        <v>165.74501360945152</v>
      </c>
      <c r="J253" s="76">
        <f t="shared" si="51"/>
        <v>55318.472222222219</v>
      </c>
      <c r="K253" s="80">
        <f t="shared" si="47"/>
        <v>106.18926544136225</v>
      </c>
      <c r="L253" s="78">
        <f t="shared" si="52"/>
        <v>6.8111585332906976</v>
      </c>
      <c r="M253" s="59">
        <f t="shared" si="48"/>
        <v>27443.599179323617</v>
      </c>
      <c r="N253" s="80">
        <f t="shared" si="53"/>
        <v>82762.071401545836</v>
      </c>
      <c r="O253" s="54">
        <f t="shared" si="54"/>
        <v>45422.658365761308</v>
      </c>
      <c r="P253" s="54">
        <f t="shared" si="55"/>
        <v>2715.819140666666</v>
      </c>
      <c r="Q253" s="54">
        <f t="shared" si="56"/>
        <v>450133.48043060547</v>
      </c>
      <c r="R253" s="54">
        <f t="shared" si="57"/>
        <v>247048.66558243972</v>
      </c>
      <c r="S253" s="54">
        <f t="shared" si="58"/>
        <v>367371.40902905964</v>
      </c>
      <c r="T253" s="81">
        <f t="shared" si="59"/>
        <v>201626.00721667841</v>
      </c>
      <c r="U253" s="82">
        <f t="shared" si="60"/>
        <v>2037</v>
      </c>
      <c r="V253" s="414">
        <v>15.25</v>
      </c>
      <c r="W253" s="185"/>
      <c r="X253" s="185"/>
    </row>
    <row r="254" spans="1:24" s="113" customFormat="1" x14ac:dyDescent="0.2">
      <c r="A254" s="73">
        <v>184</v>
      </c>
      <c r="B254" s="74">
        <f t="shared" si="43"/>
        <v>0</v>
      </c>
      <c r="C254" s="75">
        <f t="shared" si="44"/>
        <v>0</v>
      </c>
      <c r="D254" s="75">
        <f t="shared" si="45"/>
        <v>159.28389816204339</v>
      </c>
      <c r="E254" s="54">
        <f t="shared" si="49"/>
        <v>159.28389816204339</v>
      </c>
      <c r="F254" s="76">
        <f t="shared" si="62"/>
        <v>33329.485977108707</v>
      </c>
      <c r="G254" s="77">
        <f t="shared" si="61"/>
        <v>325.0289117714949</v>
      </c>
      <c r="H254" s="79">
        <f t="shared" si="50"/>
        <v>59805.319765954962</v>
      </c>
      <c r="I254" s="78">
        <f t="shared" si="46"/>
        <v>165.74501360945152</v>
      </c>
      <c r="J254" s="76">
        <f t="shared" si="51"/>
        <v>55318.472222222219</v>
      </c>
      <c r="K254" s="80">
        <f t="shared" si="47"/>
        <v>106.18926544136225</v>
      </c>
      <c r="L254" s="78">
        <f t="shared" si="52"/>
        <v>6.8111585332906976</v>
      </c>
      <c r="M254" s="59">
        <f t="shared" si="48"/>
        <v>27443.599179323617</v>
      </c>
      <c r="N254" s="80">
        <f t="shared" si="53"/>
        <v>82762.071401545836</v>
      </c>
      <c r="O254" s="54">
        <f t="shared" si="54"/>
        <v>45290.560896479903</v>
      </c>
      <c r="P254" s="54">
        <f t="shared" si="55"/>
        <v>2722.8660809999997</v>
      </c>
      <c r="Q254" s="54">
        <f t="shared" si="56"/>
        <v>451301.47565205884</v>
      </c>
      <c r="R254" s="54">
        <f t="shared" si="57"/>
        <v>246969.37400855141</v>
      </c>
      <c r="S254" s="54">
        <f t="shared" si="58"/>
        <v>368539.40425051301</v>
      </c>
      <c r="T254" s="81">
        <f t="shared" si="59"/>
        <v>201678.81311207154</v>
      </c>
      <c r="U254" s="82">
        <f t="shared" si="60"/>
        <v>2037</v>
      </c>
      <c r="V254" s="414">
        <v>15.3333333333333</v>
      </c>
      <c r="W254" s="185"/>
      <c r="X254" s="185"/>
    </row>
    <row r="255" spans="1:24" s="113" customFormat="1" x14ac:dyDescent="0.2">
      <c r="A255" s="73">
        <v>185</v>
      </c>
      <c r="B255" s="74">
        <f t="shared" si="43"/>
        <v>0</v>
      </c>
      <c r="C255" s="75">
        <f t="shared" si="44"/>
        <v>0</v>
      </c>
      <c r="D255" s="75">
        <f t="shared" si="45"/>
        <v>159.28389816204339</v>
      </c>
      <c r="E255" s="54">
        <f t="shared" si="49"/>
        <v>159.28389816204339</v>
      </c>
      <c r="F255" s="76">
        <f t="shared" si="62"/>
        <v>33488.769875270751</v>
      </c>
      <c r="G255" s="77">
        <f t="shared" si="61"/>
        <v>325.0289117714949</v>
      </c>
      <c r="H255" s="79">
        <f t="shared" si="50"/>
        <v>60130.348677726455</v>
      </c>
      <c r="I255" s="78">
        <f t="shared" si="46"/>
        <v>165.74501360945152</v>
      </c>
      <c r="J255" s="76">
        <f t="shared" si="51"/>
        <v>55318.472222222219</v>
      </c>
      <c r="K255" s="80">
        <f t="shared" si="47"/>
        <v>106.18926544136225</v>
      </c>
      <c r="L255" s="78">
        <f t="shared" si="52"/>
        <v>6.8111585332906976</v>
      </c>
      <c r="M255" s="59">
        <f t="shared" si="48"/>
        <v>27443.599179323617</v>
      </c>
      <c r="N255" s="80">
        <f t="shared" si="53"/>
        <v>82762.071401545836</v>
      </c>
      <c r="O255" s="54">
        <f t="shared" si="54"/>
        <v>45158.847591006146</v>
      </c>
      <c r="P255" s="54">
        <f t="shared" si="55"/>
        <v>2729.9130213333328</v>
      </c>
      <c r="Q255" s="54">
        <f t="shared" si="56"/>
        <v>452469.47087351215</v>
      </c>
      <c r="R255" s="54">
        <f t="shared" si="57"/>
        <v>246888.4542005129</v>
      </c>
      <c r="S255" s="54">
        <f t="shared" si="58"/>
        <v>369707.39947196632</v>
      </c>
      <c r="T255" s="81">
        <f t="shared" si="59"/>
        <v>201729.60660950677</v>
      </c>
      <c r="U255" s="82">
        <f t="shared" si="60"/>
        <v>2037</v>
      </c>
      <c r="V255" s="414">
        <v>15.4166666666666</v>
      </c>
      <c r="W255" s="185"/>
      <c r="X255" s="185"/>
    </row>
    <row r="256" spans="1:24" s="113" customFormat="1" x14ac:dyDescent="0.2">
      <c r="A256" s="73">
        <v>186</v>
      </c>
      <c r="B256" s="74">
        <f t="shared" si="43"/>
        <v>0</v>
      </c>
      <c r="C256" s="75">
        <f t="shared" si="44"/>
        <v>0</v>
      </c>
      <c r="D256" s="75">
        <f t="shared" si="45"/>
        <v>159.28389816204339</v>
      </c>
      <c r="E256" s="54">
        <f t="shared" si="49"/>
        <v>159.28389816204339</v>
      </c>
      <c r="F256" s="76">
        <f t="shared" si="62"/>
        <v>33648.053773432795</v>
      </c>
      <c r="G256" s="77">
        <f t="shared" si="61"/>
        <v>325.0289117714949</v>
      </c>
      <c r="H256" s="79">
        <f t="shared" si="50"/>
        <v>60455.377589497948</v>
      </c>
      <c r="I256" s="78">
        <f t="shared" si="46"/>
        <v>165.74501360945152</v>
      </c>
      <c r="J256" s="76">
        <f t="shared" si="51"/>
        <v>55318.472222222219</v>
      </c>
      <c r="K256" s="80">
        <f t="shared" si="47"/>
        <v>106.18926544136225</v>
      </c>
      <c r="L256" s="78">
        <f t="shared" si="52"/>
        <v>6.8111585332906976</v>
      </c>
      <c r="M256" s="59">
        <f t="shared" si="48"/>
        <v>27443.599179323617</v>
      </c>
      <c r="N256" s="80">
        <f t="shared" si="53"/>
        <v>82762.071401545836</v>
      </c>
      <c r="O256" s="54">
        <f t="shared" si="54"/>
        <v>45027.517332120806</v>
      </c>
      <c r="P256" s="54">
        <f t="shared" si="55"/>
        <v>2736.959961666666</v>
      </c>
      <c r="Q256" s="54">
        <f t="shared" si="56"/>
        <v>453637.46609496546</v>
      </c>
      <c r="R256" s="54">
        <f t="shared" si="57"/>
        <v>246805.91629934602</v>
      </c>
      <c r="S256" s="54">
        <f t="shared" si="58"/>
        <v>370875.39469341963</v>
      </c>
      <c r="T256" s="81">
        <f t="shared" si="59"/>
        <v>201778.39896722522</v>
      </c>
      <c r="U256" s="82">
        <f t="shared" si="60"/>
        <v>2037</v>
      </c>
      <c r="V256" s="414">
        <v>15.5</v>
      </c>
      <c r="W256" s="185"/>
      <c r="X256" s="185"/>
    </row>
    <row r="257" spans="1:24" s="113" customFormat="1" x14ac:dyDescent="0.2">
      <c r="A257" s="73">
        <v>187</v>
      </c>
      <c r="B257" s="74">
        <f t="shared" si="43"/>
        <v>0</v>
      </c>
      <c r="C257" s="75">
        <f t="shared" si="44"/>
        <v>0</v>
      </c>
      <c r="D257" s="75">
        <f t="shared" si="45"/>
        <v>159.28389816204339</v>
      </c>
      <c r="E257" s="54">
        <f t="shared" si="49"/>
        <v>159.28389816204339</v>
      </c>
      <c r="F257" s="76">
        <f t="shared" si="62"/>
        <v>33807.33767159484</v>
      </c>
      <c r="G257" s="77">
        <f t="shared" si="61"/>
        <v>325.0289117714949</v>
      </c>
      <c r="H257" s="79">
        <f t="shared" si="50"/>
        <v>60780.406501269441</v>
      </c>
      <c r="I257" s="78">
        <f t="shared" si="46"/>
        <v>165.74501360945152</v>
      </c>
      <c r="J257" s="76">
        <f t="shared" si="51"/>
        <v>55318.472222222219</v>
      </c>
      <c r="K257" s="80">
        <f t="shared" si="47"/>
        <v>106.18926544136225</v>
      </c>
      <c r="L257" s="78">
        <f t="shared" si="52"/>
        <v>6.8111585332906976</v>
      </c>
      <c r="M257" s="59">
        <f t="shared" si="48"/>
        <v>27443.599179323617</v>
      </c>
      <c r="N257" s="80">
        <f t="shared" si="53"/>
        <v>82762.071401545836</v>
      </c>
      <c r="O257" s="54">
        <f t="shared" si="54"/>
        <v>44896.569005853729</v>
      </c>
      <c r="P257" s="54">
        <f t="shared" si="55"/>
        <v>2744.0069019999996</v>
      </c>
      <c r="Q257" s="54">
        <f t="shared" si="56"/>
        <v>454805.46131641883</v>
      </c>
      <c r="R257" s="54">
        <f t="shared" si="57"/>
        <v>246721.77040085956</v>
      </c>
      <c r="S257" s="54">
        <f t="shared" si="58"/>
        <v>372043.389914873</v>
      </c>
      <c r="T257" s="81">
        <f t="shared" si="59"/>
        <v>201825.20139500583</v>
      </c>
      <c r="U257" s="82">
        <f t="shared" si="60"/>
        <v>2037</v>
      </c>
      <c r="V257" s="414">
        <v>15.5833333333333</v>
      </c>
      <c r="W257" s="185"/>
      <c r="X257" s="185"/>
    </row>
    <row r="258" spans="1:24" s="113" customFormat="1" x14ac:dyDescent="0.2">
      <c r="A258" s="73">
        <v>188</v>
      </c>
      <c r="B258" s="74">
        <f t="shared" si="43"/>
        <v>0</v>
      </c>
      <c r="C258" s="75">
        <f t="shared" si="44"/>
        <v>0</v>
      </c>
      <c r="D258" s="75">
        <f t="shared" si="45"/>
        <v>159.28389816204339</v>
      </c>
      <c r="E258" s="54">
        <f t="shared" si="49"/>
        <v>159.28389816204339</v>
      </c>
      <c r="F258" s="76">
        <f t="shared" si="62"/>
        <v>33966.621569756884</v>
      </c>
      <c r="G258" s="77">
        <f t="shared" si="61"/>
        <v>325.0289117714949</v>
      </c>
      <c r="H258" s="79">
        <f t="shared" si="50"/>
        <v>61105.435413040934</v>
      </c>
      <c r="I258" s="78">
        <f t="shared" si="46"/>
        <v>165.74501360945152</v>
      </c>
      <c r="J258" s="76">
        <f t="shared" si="51"/>
        <v>55318.472222222219</v>
      </c>
      <c r="K258" s="80">
        <f t="shared" si="47"/>
        <v>106.18926544136225</v>
      </c>
      <c r="L258" s="78">
        <f t="shared" si="52"/>
        <v>6.8111585332906976</v>
      </c>
      <c r="M258" s="59">
        <f t="shared" si="48"/>
        <v>27443.599179323617</v>
      </c>
      <c r="N258" s="80">
        <f t="shared" si="53"/>
        <v>82762.071401545836</v>
      </c>
      <c r="O258" s="54">
        <f t="shared" si="54"/>
        <v>44766.001501474413</v>
      </c>
      <c r="P258" s="54">
        <f t="shared" si="55"/>
        <v>2751.0538423333328</v>
      </c>
      <c r="Q258" s="54">
        <f t="shared" si="56"/>
        <v>455973.45653787215</v>
      </c>
      <c r="R258" s="54">
        <f t="shared" si="57"/>
        <v>246636.02655582645</v>
      </c>
      <c r="S258" s="54">
        <f t="shared" si="58"/>
        <v>373211.38513632631</v>
      </c>
      <c r="T258" s="81">
        <f t="shared" si="59"/>
        <v>201870.02505435204</v>
      </c>
      <c r="U258" s="82">
        <f t="shared" si="60"/>
        <v>2037</v>
      </c>
      <c r="V258" s="414">
        <v>15.6666666666666</v>
      </c>
      <c r="W258" s="185"/>
      <c r="X258" s="185"/>
    </row>
    <row r="259" spans="1:24" s="113" customFormat="1" x14ac:dyDescent="0.2">
      <c r="A259" s="73">
        <v>189</v>
      </c>
      <c r="B259" s="74">
        <f t="shared" si="43"/>
        <v>0</v>
      </c>
      <c r="C259" s="75">
        <f t="shared" si="44"/>
        <v>0</v>
      </c>
      <c r="D259" s="75">
        <f t="shared" si="45"/>
        <v>159.28389816204339</v>
      </c>
      <c r="E259" s="54">
        <f t="shared" si="49"/>
        <v>159.28389816204339</v>
      </c>
      <c r="F259" s="76">
        <f t="shared" si="62"/>
        <v>34125.905467918928</v>
      </c>
      <c r="G259" s="77">
        <f t="shared" si="61"/>
        <v>325.0289117714949</v>
      </c>
      <c r="H259" s="79">
        <f t="shared" si="50"/>
        <v>61430.464324812427</v>
      </c>
      <c r="I259" s="78">
        <f t="shared" si="46"/>
        <v>165.74501360945152</v>
      </c>
      <c r="J259" s="76">
        <f t="shared" si="51"/>
        <v>55318.472222222219</v>
      </c>
      <c r="K259" s="80">
        <f t="shared" si="47"/>
        <v>106.18926544136225</v>
      </c>
      <c r="L259" s="78">
        <f t="shared" si="52"/>
        <v>6.8111585332906976</v>
      </c>
      <c r="M259" s="59">
        <f t="shared" si="48"/>
        <v>27443.599179323617</v>
      </c>
      <c r="N259" s="80">
        <f t="shared" si="53"/>
        <v>82762.071401545836</v>
      </c>
      <c r="O259" s="54">
        <f t="shared" si="54"/>
        <v>44635.813711482595</v>
      </c>
      <c r="P259" s="54">
        <f t="shared" si="55"/>
        <v>2758.1007826666664</v>
      </c>
      <c r="Q259" s="54">
        <f t="shared" si="56"/>
        <v>457141.45175932552</v>
      </c>
      <c r="R259" s="54">
        <f t="shared" si="57"/>
        <v>246548.6947701606</v>
      </c>
      <c r="S259" s="54">
        <f t="shared" si="58"/>
        <v>374379.38035777968</v>
      </c>
      <c r="T259" s="81">
        <f t="shared" si="59"/>
        <v>201912.881058678</v>
      </c>
      <c r="U259" s="82">
        <f t="shared" si="60"/>
        <v>2037</v>
      </c>
      <c r="V259" s="414">
        <v>15.75</v>
      </c>
      <c r="W259" s="185"/>
      <c r="X259" s="185"/>
    </row>
    <row r="260" spans="1:24" s="113" customFormat="1" x14ac:dyDescent="0.2">
      <c r="A260" s="73">
        <v>190</v>
      </c>
      <c r="B260" s="74">
        <f t="shared" si="43"/>
        <v>0</v>
      </c>
      <c r="C260" s="75">
        <f t="shared" si="44"/>
        <v>0</v>
      </c>
      <c r="D260" s="75">
        <f t="shared" si="45"/>
        <v>159.28389816204339</v>
      </c>
      <c r="E260" s="54">
        <f t="shared" si="49"/>
        <v>159.28389816204339</v>
      </c>
      <c r="F260" s="76">
        <f t="shared" si="62"/>
        <v>34285.189366080973</v>
      </c>
      <c r="G260" s="77">
        <f t="shared" si="61"/>
        <v>325.0289117714949</v>
      </c>
      <c r="H260" s="79">
        <f t="shared" si="50"/>
        <v>61755.493236583919</v>
      </c>
      <c r="I260" s="78">
        <f t="shared" si="46"/>
        <v>165.74501360945152</v>
      </c>
      <c r="J260" s="76">
        <f t="shared" si="51"/>
        <v>55318.472222222219</v>
      </c>
      <c r="K260" s="80">
        <f t="shared" si="47"/>
        <v>106.18926544136225</v>
      </c>
      <c r="L260" s="78">
        <f t="shared" si="52"/>
        <v>6.8111585332906976</v>
      </c>
      <c r="M260" s="59">
        <f t="shared" si="48"/>
        <v>27443.599179323617</v>
      </c>
      <c r="N260" s="80">
        <f t="shared" si="53"/>
        <v>82762.071401545836</v>
      </c>
      <c r="O260" s="54">
        <f t="shared" si="54"/>
        <v>44506.004531598766</v>
      </c>
      <c r="P260" s="54">
        <f t="shared" si="55"/>
        <v>2765.1477229999996</v>
      </c>
      <c r="Q260" s="54">
        <f t="shared" si="56"/>
        <v>458309.44698077883</v>
      </c>
      <c r="R260" s="54">
        <f t="shared" si="57"/>
        <v>246459.7850050921</v>
      </c>
      <c r="S260" s="54">
        <f t="shared" si="58"/>
        <v>375547.37557923299</v>
      </c>
      <c r="T260" s="81">
        <f t="shared" si="59"/>
        <v>201953.78047349333</v>
      </c>
      <c r="U260" s="82">
        <f t="shared" si="60"/>
        <v>2037</v>
      </c>
      <c r="V260" s="414">
        <v>15.8333333333333</v>
      </c>
      <c r="W260" s="185"/>
      <c r="X260" s="185"/>
    </row>
    <row r="261" spans="1:24" s="113" customFormat="1" x14ac:dyDescent="0.2">
      <c r="A261" s="73">
        <v>191</v>
      </c>
      <c r="B261" s="74">
        <f t="shared" si="43"/>
        <v>0</v>
      </c>
      <c r="C261" s="75">
        <f t="shared" si="44"/>
        <v>0</v>
      </c>
      <c r="D261" s="75">
        <f t="shared" si="45"/>
        <v>159.28389816204339</v>
      </c>
      <c r="E261" s="54">
        <f t="shared" si="49"/>
        <v>159.28389816204339</v>
      </c>
      <c r="F261" s="76">
        <f t="shared" si="62"/>
        <v>34444.473264243017</v>
      </c>
      <c r="G261" s="77">
        <f t="shared" si="61"/>
        <v>325.0289117714949</v>
      </c>
      <c r="H261" s="79">
        <f t="shared" si="50"/>
        <v>62080.522148355412</v>
      </c>
      <c r="I261" s="78">
        <f t="shared" si="46"/>
        <v>165.74501360945152</v>
      </c>
      <c r="J261" s="76">
        <f t="shared" si="51"/>
        <v>55318.472222222219</v>
      </c>
      <c r="K261" s="80">
        <f t="shared" si="47"/>
        <v>106.18926544136225</v>
      </c>
      <c r="L261" s="78">
        <f t="shared" si="52"/>
        <v>6.8111585332906976</v>
      </c>
      <c r="M261" s="59">
        <f t="shared" si="48"/>
        <v>27443.599179323617</v>
      </c>
      <c r="N261" s="80">
        <f t="shared" si="53"/>
        <v>82762.071401545836</v>
      </c>
      <c r="O261" s="54">
        <f t="shared" si="54"/>
        <v>44376.57286075491</v>
      </c>
      <c r="P261" s="54">
        <f t="shared" si="55"/>
        <v>2772.1946633333328</v>
      </c>
      <c r="Q261" s="54">
        <f t="shared" si="56"/>
        <v>459477.44220223208</v>
      </c>
      <c r="R261" s="54">
        <f t="shared" si="57"/>
        <v>246369.30717734314</v>
      </c>
      <c r="S261" s="54">
        <f t="shared" si="58"/>
        <v>376715.37080068624</v>
      </c>
      <c r="T261" s="81">
        <f t="shared" si="59"/>
        <v>201992.73431658826</v>
      </c>
      <c r="U261" s="82">
        <f t="shared" si="60"/>
        <v>2037</v>
      </c>
      <c r="V261" s="414">
        <v>15.9166666666666</v>
      </c>
      <c r="W261" s="185"/>
      <c r="X261" s="185"/>
    </row>
    <row r="262" spans="1:24" s="113" customFormat="1" x14ac:dyDescent="0.2">
      <c r="A262" s="73">
        <v>192</v>
      </c>
      <c r="B262" s="74">
        <f t="shared" si="43"/>
        <v>0</v>
      </c>
      <c r="C262" s="75">
        <f t="shared" si="44"/>
        <v>0</v>
      </c>
      <c r="D262" s="75">
        <f t="shared" si="45"/>
        <v>159.28389816204339</v>
      </c>
      <c r="E262" s="54">
        <f t="shared" si="49"/>
        <v>159.28389816204339</v>
      </c>
      <c r="F262" s="76">
        <f t="shared" si="62"/>
        <v>34603.757162405062</v>
      </c>
      <c r="G262" s="77">
        <f t="shared" si="61"/>
        <v>325.0289117714949</v>
      </c>
      <c r="H262" s="79">
        <f t="shared" si="50"/>
        <v>62405.551060126905</v>
      </c>
      <c r="I262" s="78">
        <f t="shared" si="46"/>
        <v>165.74501360945152</v>
      </c>
      <c r="J262" s="76">
        <f t="shared" si="51"/>
        <v>55318.472222222219</v>
      </c>
      <c r="K262" s="80">
        <f t="shared" si="47"/>
        <v>106.18926544136225</v>
      </c>
      <c r="L262" s="78">
        <f t="shared" si="52"/>
        <v>6.8111585332906976</v>
      </c>
      <c r="M262" s="59">
        <f t="shared" si="48"/>
        <v>27443.599179323617</v>
      </c>
      <c r="N262" s="80">
        <f t="shared" si="53"/>
        <v>82762.071401545836</v>
      </c>
      <c r="O262" s="54">
        <f t="shared" si="54"/>
        <v>44247.517601085063</v>
      </c>
      <c r="P262" s="54">
        <f t="shared" si="55"/>
        <v>2779.2416036666664</v>
      </c>
      <c r="Q262" s="54">
        <f t="shared" si="56"/>
        <v>460645.43742368551</v>
      </c>
      <c r="R262" s="54">
        <f t="shared" si="57"/>
        <v>246277.27115930244</v>
      </c>
      <c r="S262" s="54">
        <f t="shared" si="58"/>
        <v>377883.36602213967</v>
      </c>
      <c r="T262" s="81">
        <f t="shared" si="59"/>
        <v>202029.75355821737</v>
      </c>
      <c r="U262" s="82">
        <f t="shared" si="60"/>
        <v>2037</v>
      </c>
      <c r="V262" s="414">
        <v>16</v>
      </c>
      <c r="W262" s="185"/>
      <c r="X262" s="185"/>
    </row>
    <row r="263" spans="1:24" s="113" customFormat="1" x14ac:dyDescent="0.2">
      <c r="A263" s="73">
        <v>193</v>
      </c>
      <c r="B263" s="74">
        <f t="shared" ref="B263:B326" si="63">IF(A263&lt;=$B$60, ($B$60-A263+1)*$B$61*$B$58, 0)</f>
        <v>0</v>
      </c>
      <c r="C263" s="75">
        <f t="shared" ref="C263:C326" si="64">IF(A263&lt;=$B$60, ($B$60-A263+1)*$B$62*(A263-0.5)*$B$58^2, 0)</f>
        <v>0</v>
      </c>
      <c r="D263" s="75">
        <f t="shared" ref="D263:D326" si="65">IF(A263&lt;=$B$60, $B$62*($B$58^2)*((A263-1)^2)/2, $B$62*($B$58^2)*(($B$60)^2)/2)</f>
        <v>159.28389816204339</v>
      </c>
      <c r="E263" s="54">
        <f t="shared" si="49"/>
        <v>159.28389816204339</v>
      </c>
      <c r="F263" s="76">
        <f t="shared" si="62"/>
        <v>34763.041060567106</v>
      </c>
      <c r="G263" s="77">
        <f t="shared" si="61"/>
        <v>325.0289117714949</v>
      </c>
      <c r="H263" s="79">
        <f t="shared" si="50"/>
        <v>62730.579971898398</v>
      </c>
      <c r="I263" s="78">
        <f t="shared" ref="I263:I326" si="66">G263-E263</f>
        <v>165.74501360945152</v>
      </c>
      <c r="J263" s="76">
        <f t="shared" si="51"/>
        <v>55318.472222222219</v>
      </c>
      <c r="K263" s="80">
        <f t="shared" ref="K263:K326" si="67">IF(A263&lt;=$B$60,$B$29/$B$60+A263*$B$58*$B$62,$B$62*$B$58*$B$60)</f>
        <v>106.18926544136225</v>
      </c>
      <c r="L263" s="78">
        <f t="shared" si="52"/>
        <v>6.8111585332906976</v>
      </c>
      <c r="M263" s="59">
        <f t="shared" ref="M263:M326" si="68">(K263/$B$29/$B$50)*($B$35*$B$51+$B$38*$B$52)</f>
        <v>27443.599179323617</v>
      </c>
      <c r="N263" s="80">
        <f t="shared" si="53"/>
        <v>82762.071401545836</v>
      </c>
      <c r="O263" s="54">
        <f t="shared" si="54"/>
        <v>44118.837657916149</v>
      </c>
      <c r="P263" s="54">
        <f t="shared" si="55"/>
        <v>2786.2885439999995</v>
      </c>
      <c r="Q263" s="54">
        <f t="shared" si="56"/>
        <v>461813.43264513876</v>
      </c>
      <c r="R263" s="54">
        <f t="shared" si="57"/>
        <v>246183.68677919908</v>
      </c>
      <c r="S263" s="54">
        <f t="shared" si="58"/>
        <v>379051.36124359292</v>
      </c>
      <c r="T263" s="81">
        <f t="shared" si="59"/>
        <v>202064.84912128292</v>
      </c>
      <c r="U263" s="376">
        <f t="shared" si="60"/>
        <v>2038</v>
      </c>
      <c r="V263" s="414">
        <v>16.0833333333333</v>
      </c>
      <c r="W263" s="185"/>
      <c r="X263" s="185"/>
    </row>
    <row r="264" spans="1:24" s="113" customFormat="1" x14ac:dyDescent="0.2">
      <c r="A264" s="73">
        <v>194</v>
      </c>
      <c r="B264" s="74">
        <f t="shared" si="63"/>
        <v>0</v>
      </c>
      <c r="C264" s="75">
        <f t="shared" si="64"/>
        <v>0</v>
      </c>
      <c r="D264" s="75">
        <f t="shared" si="65"/>
        <v>159.28389816204339</v>
      </c>
      <c r="E264" s="54">
        <f t="shared" ref="E264:E327" si="69">SUM(B264:D264)</f>
        <v>159.28389816204339</v>
      </c>
      <c r="F264" s="76">
        <f t="shared" si="62"/>
        <v>34922.32495872915</v>
      </c>
      <c r="G264" s="77">
        <f t="shared" si="61"/>
        <v>325.0289117714949</v>
      </c>
      <c r="H264" s="79">
        <f t="shared" ref="H264:H327" si="70">G264+H263</f>
        <v>63055.608883669891</v>
      </c>
      <c r="I264" s="78">
        <f t="shared" si="66"/>
        <v>165.74501360945152</v>
      </c>
      <c r="J264" s="76">
        <f t="shared" ref="J264:J327" si="71">$B$63</f>
        <v>55318.472222222219</v>
      </c>
      <c r="K264" s="80">
        <f t="shared" si="67"/>
        <v>106.18926544136225</v>
      </c>
      <c r="L264" s="78">
        <f t="shared" ref="L264:L327" si="72">K264/$B$29*($B$35+$B$38)</f>
        <v>6.8111585332906976</v>
      </c>
      <c r="M264" s="59">
        <f t="shared" si="68"/>
        <v>27443.599179323617</v>
      </c>
      <c r="N264" s="80">
        <f t="shared" ref="N264:N327" si="73">J264+M264</f>
        <v>82762.071401545836</v>
      </c>
      <c r="O264" s="54">
        <f t="shared" ref="O264:O327" si="74">N264/((1+$B$41*$B$58)^((24+A264-1)))</f>
        <v>43990.531939758512</v>
      </c>
      <c r="P264" s="54">
        <f t="shared" ref="P264:P327" si="75">$P$71*(1+$B$44*(A264-1)*$B$58)</f>
        <v>2793.3354843333327</v>
      </c>
      <c r="Q264" s="54">
        <f t="shared" ref="Q264:Q327" si="76">(G264-E264)*P264</f>
        <v>462981.42786659207</v>
      </c>
      <c r="R264" s="54">
        <f t="shared" ref="R264:R327" si="77">Q264/((1+$B$41*$B$58)^((24+A264-1)))</f>
        <v>246088.56382127607</v>
      </c>
      <c r="S264" s="54">
        <f t="shared" ref="S264:S327" si="78">Q264-N264</f>
        <v>380219.35646504624</v>
      </c>
      <c r="T264" s="81">
        <f t="shared" ref="T264:T327" si="79">S264/((1+$B$41*$B$58)^((24+A264-1)))</f>
        <v>202098.03188151756</v>
      </c>
      <c r="U264" s="82">
        <f t="shared" ref="U264:U327" si="80">IF(MOD(A263,12)=0,U263+1,U263)</f>
        <v>2038</v>
      </c>
      <c r="V264" s="414">
        <v>16.1666666666666</v>
      </c>
      <c r="W264" s="185"/>
      <c r="X264" s="185"/>
    </row>
    <row r="265" spans="1:24" s="113" customFormat="1" x14ac:dyDescent="0.2">
      <c r="A265" s="73">
        <v>195</v>
      </c>
      <c r="B265" s="74">
        <f t="shared" si="63"/>
        <v>0</v>
      </c>
      <c r="C265" s="75">
        <f t="shared" si="64"/>
        <v>0</v>
      </c>
      <c r="D265" s="75">
        <f t="shared" si="65"/>
        <v>159.28389816204339</v>
      </c>
      <c r="E265" s="54">
        <f t="shared" si="69"/>
        <v>159.28389816204339</v>
      </c>
      <c r="F265" s="76">
        <f t="shared" si="62"/>
        <v>35081.608856891195</v>
      </c>
      <c r="G265" s="77">
        <f t="shared" ref="G265:G328" si="81">G264</f>
        <v>325.0289117714949</v>
      </c>
      <c r="H265" s="79">
        <f t="shared" si="70"/>
        <v>63380.637795441384</v>
      </c>
      <c r="I265" s="78">
        <f t="shared" si="66"/>
        <v>165.74501360945152</v>
      </c>
      <c r="J265" s="76">
        <f t="shared" si="71"/>
        <v>55318.472222222219</v>
      </c>
      <c r="K265" s="80">
        <f t="shared" si="67"/>
        <v>106.18926544136225</v>
      </c>
      <c r="L265" s="78">
        <f t="shared" si="72"/>
        <v>6.8111585332906976</v>
      </c>
      <c r="M265" s="59">
        <f t="shared" si="68"/>
        <v>27443.599179323617</v>
      </c>
      <c r="N265" s="80">
        <f t="shared" si="73"/>
        <v>82762.071401545836</v>
      </c>
      <c r="O265" s="54">
        <f t="shared" si="74"/>
        <v>43862.599358296808</v>
      </c>
      <c r="P265" s="54">
        <f t="shared" si="75"/>
        <v>2800.3824246666663</v>
      </c>
      <c r="Q265" s="54">
        <f t="shared" si="76"/>
        <v>464149.42308804544</v>
      </c>
      <c r="R265" s="54">
        <f t="shared" si="77"/>
        <v>245991.91202596307</v>
      </c>
      <c r="S265" s="54">
        <f t="shared" si="78"/>
        <v>381387.35168649961</v>
      </c>
      <c r="T265" s="81">
        <f t="shared" si="79"/>
        <v>202129.31266766627</v>
      </c>
      <c r="U265" s="82">
        <f t="shared" si="80"/>
        <v>2038</v>
      </c>
      <c r="V265" s="414">
        <v>16.25</v>
      </c>
      <c r="W265" s="185"/>
      <c r="X265" s="185"/>
    </row>
    <row r="266" spans="1:24" s="113" customFormat="1" x14ac:dyDescent="0.2">
      <c r="A266" s="73">
        <v>196</v>
      </c>
      <c r="B266" s="74">
        <f t="shared" si="63"/>
        <v>0</v>
      </c>
      <c r="C266" s="75">
        <f t="shared" si="64"/>
        <v>0</v>
      </c>
      <c r="D266" s="75">
        <f t="shared" si="65"/>
        <v>159.28389816204339</v>
      </c>
      <c r="E266" s="54">
        <f t="shared" si="69"/>
        <v>159.28389816204339</v>
      </c>
      <c r="F266" s="76">
        <f t="shared" ref="F266:F329" si="82">E266+F265</f>
        <v>35240.892755053239</v>
      </c>
      <c r="G266" s="77">
        <f t="shared" si="81"/>
        <v>325.0289117714949</v>
      </c>
      <c r="H266" s="79">
        <f t="shared" si="70"/>
        <v>63705.666707212877</v>
      </c>
      <c r="I266" s="78">
        <f t="shared" si="66"/>
        <v>165.74501360945152</v>
      </c>
      <c r="J266" s="76">
        <f t="shared" si="71"/>
        <v>55318.472222222219</v>
      </c>
      <c r="K266" s="80">
        <f t="shared" si="67"/>
        <v>106.18926544136225</v>
      </c>
      <c r="L266" s="78">
        <f t="shared" si="72"/>
        <v>6.8111585332906976</v>
      </c>
      <c r="M266" s="59">
        <f t="shared" si="68"/>
        <v>27443.599179323617</v>
      </c>
      <c r="N266" s="80">
        <f t="shared" si="73"/>
        <v>82762.071401545836</v>
      </c>
      <c r="O266" s="54">
        <f t="shared" si="74"/>
        <v>43735.038828380697</v>
      </c>
      <c r="P266" s="54">
        <f t="shared" si="75"/>
        <v>2807.4293649999995</v>
      </c>
      <c r="Q266" s="54">
        <f t="shared" si="76"/>
        <v>465317.41830949875</v>
      </c>
      <c r="R266" s="54">
        <f t="shared" si="77"/>
        <v>245893.74109004816</v>
      </c>
      <c r="S266" s="54">
        <f t="shared" si="78"/>
        <v>382555.34690795292</v>
      </c>
      <c r="T266" s="81">
        <f t="shared" si="79"/>
        <v>202158.70226166747</v>
      </c>
      <c r="U266" s="82">
        <f t="shared" si="80"/>
        <v>2038</v>
      </c>
      <c r="V266" s="414">
        <v>16.3333333333333</v>
      </c>
      <c r="W266" s="185"/>
      <c r="X266" s="185"/>
    </row>
    <row r="267" spans="1:24" s="113" customFormat="1" x14ac:dyDescent="0.2">
      <c r="A267" s="73">
        <v>197</v>
      </c>
      <c r="B267" s="74">
        <f t="shared" si="63"/>
        <v>0</v>
      </c>
      <c r="C267" s="75">
        <f t="shared" si="64"/>
        <v>0</v>
      </c>
      <c r="D267" s="75">
        <f t="shared" si="65"/>
        <v>159.28389816204339</v>
      </c>
      <c r="E267" s="54">
        <f t="shared" si="69"/>
        <v>159.28389816204339</v>
      </c>
      <c r="F267" s="76">
        <f t="shared" si="82"/>
        <v>35400.176653215283</v>
      </c>
      <c r="G267" s="77">
        <f t="shared" si="81"/>
        <v>325.0289117714949</v>
      </c>
      <c r="H267" s="79">
        <f t="shared" si="70"/>
        <v>64030.69561898437</v>
      </c>
      <c r="I267" s="78">
        <f t="shared" si="66"/>
        <v>165.74501360945152</v>
      </c>
      <c r="J267" s="76">
        <f t="shared" si="71"/>
        <v>55318.472222222219</v>
      </c>
      <c r="K267" s="80">
        <f t="shared" si="67"/>
        <v>106.18926544136225</v>
      </c>
      <c r="L267" s="78">
        <f t="shared" si="72"/>
        <v>6.8111585332906976</v>
      </c>
      <c r="M267" s="59">
        <f t="shared" si="68"/>
        <v>27443.599179323617</v>
      </c>
      <c r="N267" s="80">
        <f t="shared" si="73"/>
        <v>82762.071401545836</v>
      </c>
      <c r="O267" s="54">
        <f t="shared" si="74"/>
        <v>43607.849268015656</v>
      </c>
      <c r="P267" s="54">
        <f t="shared" si="75"/>
        <v>2814.4763053333331</v>
      </c>
      <c r="Q267" s="54">
        <f t="shared" si="76"/>
        <v>466485.41353095212</v>
      </c>
      <c r="R267" s="54">
        <f t="shared" si="77"/>
        <v>245794.06066684981</v>
      </c>
      <c r="S267" s="54">
        <f t="shared" si="78"/>
        <v>383723.34212940629</v>
      </c>
      <c r="T267" s="81">
        <f t="shared" si="79"/>
        <v>202186.21139883416</v>
      </c>
      <c r="U267" s="82">
        <f t="shared" si="80"/>
        <v>2038</v>
      </c>
      <c r="V267" s="414">
        <v>16.4166666666666</v>
      </c>
      <c r="W267" s="185"/>
      <c r="X267" s="185"/>
    </row>
    <row r="268" spans="1:24" s="113" customFormat="1" x14ac:dyDescent="0.2">
      <c r="A268" s="73">
        <v>198</v>
      </c>
      <c r="B268" s="74">
        <f t="shared" si="63"/>
        <v>0</v>
      </c>
      <c r="C268" s="75">
        <f t="shared" si="64"/>
        <v>0</v>
      </c>
      <c r="D268" s="75">
        <f t="shared" si="65"/>
        <v>159.28389816204339</v>
      </c>
      <c r="E268" s="54">
        <f t="shared" si="69"/>
        <v>159.28389816204339</v>
      </c>
      <c r="F268" s="76">
        <f t="shared" si="82"/>
        <v>35559.460551377328</v>
      </c>
      <c r="G268" s="77">
        <f t="shared" si="81"/>
        <v>325.0289117714949</v>
      </c>
      <c r="H268" s="79">
        <f t="shared" si="70"/>
        <v>64355.724530755862</v>
      </c>
      <c r="I268" s="78">
        <f t="shared" si="66"/>
        <v>165.74501360945152</v>
      </c>
      <c r="J268" s="76">
        <f t="shared" si="71"/>
        <v>55318.472222222219</v>
      </c>
      <c r="K268" s="80">
        <f t="shared" si="67"/>
        <v>106.18926544136225</v>
      </c>
      <c r="L268" s="78">
        <f t="shared" si="72"/>
        <v>6.8111585332906976</v>
      </c>
      <c r="M268" s="59">
        <f t="shared" si="68"/>
        <v>27443.599179323617</v>
      </c>
      <c r="N268" s="80">
        <f t="shared" si="73"/>
        <v>82762.071401545836</v>
      </c>
      <c r="O268" s="54">
        <f t="shared" si="74"/>
        <v>43481.029598353787</v>
      </c>
      <c r="P268" s="54">
        <f t="shared" si="75"/>
        <v>2821.5232456666658</v>
      </c>
      <c r="Q268" s="54">
        <f t="shared" si="76"/>
        <v>467653.40875240538</v>
      </c>
      <c r="R268" s="54">
        <f t="shared" si="77"/>
        <v>245692.88036638702</v>
      </c>
      <c r="S268" s="54">
        <f t="shared" si="78"/>
        <v>384891.33735085954</v>
      </c>
      <c r="T268" s="81">
        <f t="shared" si="79"/>
        <v>202211.85076803324</v>
      </c>
      <c r="U268" s="82">
        <f t="shared" si="80"/>
        <v>2038</v>
      </c>
      <c r="V268" s="414">
        <v>16.5</v>
      </c>
      <c r="W268" s="185"/>
      <c r="X268" s="185"/>
    </row>
    <row r="269" spans="1:24" s="113" customFormat="1" x14ac:dyDescent="0.2">
      <c r="A269" s="73">
        <v>199</v>
      </c>
      <c r="B269" s="74">
        <f t="shared" si="63"/>
        <v>0</v>
      </c>
      <c r="C269" s="75">
        <f t="shared" si="64"/>
        <v>0</v>
      </c>
      <c r="D269" s="75">
        <f t="shared" si="65"/>
        <v>159.28389816204339</v>
      </c>
      <c r="E269" s="54">
        <f t="shared" si="69"/>
        <v>159.28389816204339</v>
      </c>
      <c r="F269" s="76">
        <f t="shared" si="82"/>
        <v>35718.744449539372</v>
      </c>
      <c r="G269" s="77">
        <f t="shared" si="81"/>
        <v>325.0289117714949</v>
      </c>
      <c r="H269" s="79">
        <f t="shared" si="70"/>
        <v>64680.753442527355</v>
      </c>
      <c r="I269" s="78">
        <f t="shared" si="66"/>
        <v>165.74501360945152</v>
      </c>
      <c r="J269" s="76">
        <f t="shared" si="71"/>
        <v>55318.472222222219</v>
      </c>
      <c r="K269" s="80">
        <f t="shared" si="67"/>
        <v>106.18926544136225</v>
      </c>
      <c r="L269" s="78">
        <f t="shared" si="72"/>
        <v>6.8111585332906976</v>
      </c>
      <c r="M269" s="59">
        <f t="shared" si="68"/>
        <v>27443.599179323617</v>
      </c>
      <c r="N269" s="80">
        <f t="shared" si="73"/>
        <v>82762.071401545836</v>
      </c>
      <c r="O269" s="54">
        <f t="shared" si="74"/>
        <v>43354.578743684717</v>
      </c>
      <c r="P269" s="54">
        <f t="shared" si="75"/>
        <v>2828.5701859999995</v>
      </c>
      <c r="Q269" s="54">
        <f t="shared" si="76"/>
        <v>468821.40397385875</v>
      </c>
      <c r="R269" s="54">
        <f t="shared" si="77"/>
        <v>245590.2097555504</v>
      </c>
      <c r="S269" s="54">
        <f t="shared" si="78"/>
        <v>386059.33257231291</v>
      </c>
      <c r="T269" s="81">
        <f t="shared" si="79"/>
        <v>202235.63101186568</v>
      </c>
      <c r="U269" s="82">
        <f t="shared" si="80"/>
        <v>2038</v>
      </c>
      <c r="V269" s="414">
        <v>16.5833333333333</v>
      </c>
      <c r="W269" s="185"/>
      <c r="X269" s="185"/>
    </row>
    <row r="270" spans="1:24" s="113" customFormat="1" x14ac:dyDescent="0.2">
      <c r="A270" s="73">
        <v>200</v>
      </c>
      <c r="B270" s="74">
        <f t="shared" si="63"/>
        <v>0</v>
      </c>
      <c r="C270" s="75">
        <f t="shared" si="64"/>
        <v>0</v>
      </c>
      <c r="D270" s="75">
        <f t="shared" si="65"/>
        <v>159.28389816204339</v>
      </c>
      <c r="E270" s="54">
        <f t="shared" si="69"/>
        <v>159.28389816204339</v>
      </c>
      <c r="F270" s="76">
        <f t="shared" si="82"/>
        <v>35878.028347701416</v>
      </c>
      <c r="G270" s="77">
        <f t="shared" si="81"/>
        <v>325.0289117714949</v>
      </c>
      <c r="H270" s="79">
        <f t="shared" si="70"/>
        <v>65005.782354298848</v>
      </c>
      <c r="I270" s="78">
        <f t="shared" si="66"/>
        <v>165.74501360945152</v>
      </c>
      <c r="J270" s="76">
        <f t="shared" si="71"/>
        <v>55318.472222222219</v>
      </c>
      <c r="K270" s="80">
        <f t="shared" si="67"/>
        <v>106.18926544136225</v>
      </c>
      <c r="L270" s="78">
        <f t="shared" si="72"/>
        <v>6.8111585332906976</v>
      </c>
      <c r="M270" s="59">
        <f t="shared" si="68"/>
        <v>27443.599179323617</v>
      </c>
      <c r="N270" s="80">
        <f t="shared" si="73"/>
        <v>82762.071401545836</v>
      </c>
      <c r="O270" s="54">
        <f t="shared" si="74"/>
        <v>43228.495631426369</v>
      </c>
      <c r="P270" s="54">
        <f t="shared" si="75"/>
        <v>2835.6171263333326</v>
      </c>
      <c r="Q270" s="54">
        <f t="shared" si="76"/>
        <v>469989.399195312</v>
      </c>
      <c r="R270" s="54">
        <f t="shared" si="77"/>
        <v>245486.05835827073</v>
      </c>
      <c r="S270" s="54">
        <f t="shared" si="78"/>
        <v>387227.32779376616</v>
      </c>
      <c r="T270" s="81">
        <f t="shared" si="79"/>
        <v>202257.56272684436</v>
      </c>
      <c r="U270" s="82">
        <f t="shared" si="80"/>
        <v>2038</v>
      </c>
      <c r="V270" s="414">
        <v>16.6666666666666</v>
      </c>
      <c r="W270" s="185"/>
      <c r="X270" s="185"/>
    </row>
    <row r="271" spans="1:24" s="113" customFormat="1" x14ac:dyDescent="0.2">
      <c r="A271" s="73">
        <v>201</v>
      </c>
      <c r="B271" s="74">
        <f t="shared" si="63"/>
        <v>0</v>
      </c>
      <c r="C271" s="75">
        <f t="shared" si="64"/>
        <v>0</v>
      </c>
      <c r="D271" s="75">
        <f t="shared" si="65"/>
        <v>159.28389816204339</v>
      </c>
      <c r="E271" s="54">
        <f t="shared" si="69"/>
        <v>159.28389816204339</v>
      </c>
      <c r="F271" s="76">
        <f t="shared" si="82"/>
        <v>36037.312245863461</v>
      </c>
      <c r="G271" s="77">
        <f t="shared" si="81"/>
        <v>325.0289117714949</v>
      </c>
      <c r="H271" s="79">
        <f t="shared" si="70"/>
        <v>65330.811266070341</v>
      </c>
      <c r="I271" s="78">
        <f t="shared" si="66"/>
        <v>165.74501360945152</v>
      </c>
      <c r="J271" s="76">
        <f t="shared" si="71"/>
        <v>55318.472222222219</v>
      </c>
      <c r="K271" s="80">
        <f t="shared" si="67"/>
        <v>106.18926544136225</v>
      </c>
      <c r="L271" s="78">
        <f t="shared" si="72"/>
        <v>6.8111585332906976</v>
      </c>
      <c r="M271" s="59">
        <f t="shared" si="68"/>
        <v>27443.599179323617</v>
      </c>
      <c r="N271" s="80">
        <f t="shared" si="73"/>
        <v>82762.071401545836</v>
      </c>
      <c r="O271" s="54">
        <f t="shared" si="74"/>
        <v>43102.779192116053</v>
      </c>
      <c r="P271" s="54">
        <f t="shared" si="75"/>
        <v>2842.6640666666663</v>
      </c>
      <c r="Q271" s="54">
        <f t="shared" si="76"/>
        <v>471157.39441676543</v>
      </c>
      <c r="R271" s="54">
        <f t="shared" si="77"/>
        <v>245380.43565568919</v>
      </c>
      <c r="S271" s="54">
        <f t="shared" si="78"/>
        <v>388395.32301521959</v>
      </c>
      <c r="T271" s="81">
        <f t="shared" si="79"/>
        <v>202277.65646357313</v>
      </c>
      <c r="U271" s="82">
        <f t="shared" si="80"/>
        <v>2038</v>
      </c>
      <c r="V271" s="414">
        <v>16.75</v>
      </c>
      <c r="W271" s="185"/>
      <c r="X271" s="185"/>
    </row>
    <row r="272" spans="1:24" s="113" customFormat="1" x14ac:dyDescent="0.2">
      <c r="A272" s="73">
        <v>202</v>
      </c>
      <c r="B272" s="74">
        <f t="shared" si="63"/>
        <v>0</v>
      </c>
      <c r="C272" s="75">
        <f t="shared" si="64"/>
        <v>0</v>
      </c>
      <c r="D272" s="75">
        <f t="shared" si="65"/>
        <v>159.28389816204339</v>
      </c>
      <c r="E272" s="54">
        <f t="shared" si="69"/>
        <v>159.28389816204339</v>
      </c>
      <c r="F272" s="76">
        <f t="shared" si="82"/>
        <v>36196.596144025505</v>
      </c>
      <c r="G272" s="77">
        <f t="shared" si="81"/>
        <v>325.0289117714949</v>
      </c>
      <c r="H272" s="79">
        <f t="shared" si="70"/>
        <v>65655.840177841834</v>
      </c>
      <c r="I272" s="78">
        <f t="shared" si="66"/>
        <v>165.74501360945152</v>
      </c>
      <c r="J272" s="76">
        <f t="shared" si="71"/>
        <v>55318.472222222219</v>
      </c>
      <c r="K272" s="80">
        <f t="shared" si="67"/>
        <v>106.18926544136225</v>
      </c>
      <c r="L272" s="78">
        <f t="shared" si="72"/>
        <v>6.8111585332906976</v>
      </c>
      <c r="M272" s="59">
        <f t="shared" si="68"/>
        <v>27443.599179323617</v>
      </c>
      <c r="N272" s="80">
        <f t="shared" si="73"/>
        <v>82762.071401545836</v>
      </c>
      <c r="O272" s="54">
        <f t="shared" si="74"/>
        <v>42977.428359401136</v>
      </c>
      <c r="P272" s="54">
        <f t="shared" si="75"/>
        <v>2849.7110069999994</v>
      </c>
      <c r="Q272" s="54">
        <f t="shared" si="76"/>
        <v>472325.38963821868</v>
      </c>
      <c r="R272" s="54">
        <f t="shared" si="77"/>
        <v>245273.35108632405</v>
      </c>
      <c r="S272" s="54">
        <f t="shared" si="78"/>
        <v>389563.31823667284</v>
      </c>
      <c r="T272" s="81">
        <f t="shared" si="79"/>
        <v>202295.92272692293</v>
      </c>
      <c r="U272" s="82">
        <f t="shared" si="80"/>
        <v>2038</v>
      </c>
      <c r="V272" s="414">
        <v>16.8333333333333</v>
      </c>
      <c r="W272" s="185"/>
      <c r="X272" s="185"/>
    </row>
    <row r="273" spans="1:24" s="113" customFormat="1" x14ac:dyDescent="0.2">
      <c r="A273" s="73">
        <v>203</v>
      </c>
      <c r="B273" s="74">
        <f t="shared" si="63"/>
        <v>0</v>
      </c>
      <c r="C273" s="75">
        <f t="shared" si="64"/>
        <v>0</v>
      </c>
      <c r="D273" s="75">
        <f t="shared" si="65"/>
        <v>159.28389816204339</v>
      </c>
      <c r="E273" s="54">
        <f t="shared" si="69"/>
        <v>159.28389816204339</v>
      </c>
      <c r="F273" s="76">
        <f t="shared" si="82"/>
        <v>36355.880042187549</v>
      </c>
      <c r="G273" s="77">
        <f t="shared" si="81"/>
        <v>325.0289117714949</v>
      </c>
      <c r="H273" s="79">
        <f t="shared" si="70"/>
        <v>65980.869089613334</v>
      </c>
      <c r="I273" s="78">
        <f t="shared" si="66"/>
        <v>165.74501360945152</v>
      </c>
      <c r="J273" s="76">
        <f t="shared" si="71"/>
        <v>55318.472222222219</v>
      </c>
      <c r="K273" s="80">
        <f t="shared" si="67"/>
        <v>106.18926544136225</v>
      </c>
      <c r="L273" s="78">
        <f t="shared" si="72"/>
        <v>6.8111585332906976</v>
      </c>
      <c r="M273" s="59">
        <f t="shared" si="68"/>
        <v>27443.599179323617</v>
      </c>
      <c r="N273" s="80">
        <f t="shared" si="73"/>
        <v>82762.071401545836</v>
      </c>
      <c r="O273" s="54">
        <f t="shared" si="74"/>
        <v>42852.442070030214</v>
      </c>
      <c r="P273" s="54">
        <f t="shared" si="75"/>
        <v>2856.7579473333326</v>
      </c>
      <c r="Q273" s="54">
        <f t="shared" si="76"/>
        <v>473493.38485967199</v>
      </c>
      <c r="R273" s="54">
        <f t="shared" si="77"/>
        <v>245164.81404623992</v>
      </c>
      <c r="S273" s="54">
        <f t="shared" si="78"/>
        <v>390731.31345812615</v>
      </c>
      <c r="T273" s="81">
        <f t="shared" si="79"/>
        <v>202312.37197620969</v>
      </c>
      <c r="U273" s="82">
        <f t="shared" si="80"/>
        <v>2038</v>
      </c>
      <c r="V273" s="414">
        <v>16.9166666666666</v>
      </c>
      <c r="W273" s="185"/>
      <c r="X273" s="185"/>
    </row>
    <row r="274" spans="1:24" s="113" customFormat="1" x14ac:dyDescent="0.2">
      <c r="A274" s="73">
        <v>204</v>
      </c>
      <c r="B274" s="74">
        <f t="shared" si="63"/>
        <v>0</v>
      </c>
      <c r="C274" s="75">
        <f t="shared" si="64"/>
        <v>0</v>
      </c>
      <c r="D274" s="75">
        <f t="shared" si="65"/>
        <v>159.28389816204339</v>
      </c>
      <c r="E274" s="54">
        <f t="shared" si="69"/>
        <v>159.28389816204339</v>
      </c>
      <c r="F274" s="76">
        <f t="shared" si="82"/>
        <v>36515.163940349594</v>
      </c>
      <c r="G274" s="77">
        <f t="shared" si="81"/>
        <v>325.0289117714949</v>
      </c>
      <c r="H274" s="79">
        <f t="shared" si="70"/>
        <v>66305.898001384834</v>
      </c>
      <c r="I274" s="78">
        <f t="shared" si="66"/>
        <v>165.74501360945152</v>
      </c>
      <c r="J274" s="76">
        <f t="shared" si="71"/>
        <v>55318.472222222219</v>
      </c>
      <c r="K274" s="80">
        <f t="shared" si="67"/>
        <v>106.18926544136225</v>
      </c>
      <c r="L274" s="78">
        <f t="shared" si="72"/>
        <v>6.8111585332906976</v>
      </c>
      <c r="M274" s="59">
        <f t="shared" si="68"/>
        <v>27443.599179323617</v>
      </c>
      <c r="N274" s="80">
        <f t="shared" si="73"/>
        <v>82762.071401545836</v>
      </c>
      <c r="O274" s="54">
        <f t="shared" si="74"/>
        <v>42727.819263843994</v>
      </c>
      <c r="P274" s="54">
        <f t="shared" si="75"/>
        <v>2863.8048876666662</v>
      </c>
      <c r="Q274" s="54">
        <f t="shared" si="76"/>
        <v>474661.38008112536</v>
      </c>
      <c r="R274" s="54">
        <f t="shared" si="77"/>
        <v>245054.83388921403</v>
      </c>
      <c r="S274" s="54">
        <f t="shared" si="78"/>
        <v>391899.30867957952</v>
      </c>
      <c r="T274" s="81">
        <f t="shared" si="79"/>
        <v>202327.01462537004</v>
      </c>
      <c r="U274" s="82">
        <f t="shared" si="80"/>
        <v>2038</v>
      </c>
      <c r="V274" s="414">
        <v>17</v>
      </c>
      <c r="W274" s="185"/>
      <c r="X274" s="185"/>
    </row>
    <row r="275" spans="1:24" s="113" customFormat="1" x14ac:dyDescent="0.2">
      <c r="A275" s="73">
        <v>205</v>
      </c>
      <c r="B275" s="74">
        <f t="shared" si="63"/>
        <v>0</v>
      </c>
      <c r="C275" s="75">
        <f t="shared" si="64"/>
        <v>0</v>
      </c>
      <c r="D275" s="75">
        <f t="shared" si="65"/>
        <v>159.28389816204339</v>
      </c>
      <c r="E275" s="54">
        <f t="shared" si="69"/>
        <v>159.28389816204339</v>
      </c>
      <c r="F275" s="76">
        <f t="shared" si="82"/>
        <v>36674.447838511638</v>
      </c>
      <c r="G275" s="77">
        <f t="shared" si="81"/>
        <v>325.0289117714949</v>
      </c>
      <c r="H275" s="79">
        <f t="shared" si="70"/>
        <v>66630.926913156334</v>
      </c>
      <c r="I275" s="78">
        <f t="shared" si="66"/>
        <v>165.74501360945152</v>
      </c>
      <c r="J275" s="76">
        <f t="shared" si="71"/>
        <v>55318.472222222219</v>
      </c>
      <c r="K275" s="80">
        <f t="shared" si="67"/>
        <v>106.18926544136225</v>
      </c>
      <c r="L275" s="78">
        <f t="shared" si="72"/>
        <v>6.8111585332906976</v>
      </c>
      <c r="M275" s="59">
        <f t="shared" si="68"/>
        <v>27443.599179323617</v>
      </c>
      <c r="N275" s="80">
        <f t="shared" si="73"/>
        <v>82762.071401545836</v>
      </c>
      <c r="O275" s="54">
        <f t="shared" si="74"/>
        <v>42603.558883766345</v>
      </c>
      <c r="P275" s="54">
        <f t="shared" si="75"/>
        <v>2870.8518279999998</v>
      </c>
      <c r="Q275" s="54">
        <f t="shared" si="76"/>
        <v>475829.37530257873</v>
      </c>
      <c r="R275" s="54">
        <f t="shared" si="77"/>
        <v>244943.41992690295</v>
      </c>
      <c r="S275" s="54">
        <f t="shared" si="78"/>
        <v>393067.30390103289</v>
      </c>
      <c r="T275" s="81">
        <f t="shared" si="79"/>
        <v>202339.86104313663</v>
      </c>
      <c r="U275" s="376">
        <f t="shared" si="80"/>
        <v>2039</v>
      </c>
      <c r="V275" s="414">
        <v>17.0833333333333</v>
      </c>
      <c r="W275" s="185"/>
      <c r="X275" s="185"/>
    </row>
    <row r="276" spans="1:24" s="113" customFormat="1" x14ac:dyDescent="0.2">
      <c r="A276" s="73">
        <v>206</v>
      </c>
      <c r="B276" s="74">
        <f t="shared" si="63"/>
        <v>0</v>
      </c>
      <c r="C276" s="75">
        <f t="shared" si="64"/>
        <v>0</v>
      </c>
      <c r="D276" s="75">
        <f t="shared" si="65"/>
        <v>159.28389816204339</v>
      </c>
      <c r="E276" s="54">
        <f t="shared" si="69"/>
        <v>159.28389816204339</v>
      </c>
      <c r="F276" s="76">
        <f t="shared" si="82"/>
        <v>36833.731736673682</v>
      </c>
      <c r="G276" s="77">
        <f t="shared" si="81"/>
        <v>325.0289117714949</v>
      </c>
      <c r="H276" s="79">
        <f t="shared" si="70"/>
        <v>66955.955824927834</v>
      </c>
      <c r="I276" s="78">
        <f t="shared" si="66"/>
        <v>165.74501360945152</v>
      </c>
      <c r="J276" s="76">
        <f t="shared" si="71"/>
        <v>55318.472222222219</v>
      </c>
      <c r="K276" s="80">
        <f t="shared" si="67"/>
        <v>106.18926544136225</v>
      </c>
      <c r="L276" s="78">
        <f t="shared" si="72"/>
        <v>6.8111585332906976</v>
      </c>
      <c r="M276" s="59">
        <f t="shared" si="68"/>
        <v>27443.599179323617</v>
      </c>
      <c r="N276" s="80">
        <f t="shared" si="73"/>
        <v>82762.071401545836</v>
      </c>
      <c r="O276" s="54">
        <f t="shared" si="74"/>
        <v>42479.659875795282</v>
      </c>
      <c r="P276" s="54">
        <f t="shared" si="75"/>
        <v>2877.898768333333</v>
      </c>
      <c r="Q276" s="54">
        <f t="shared" si="76"/>
        <v>476997.37052403204</v>
      </c>
      <c r="R276" s="54">
        <f t="shared" si="77"/>
        <v>244830.58142900842</v>
      </c>
      <c r="S276" s="54">
        <f t="shared" si="78"/>
        <v>394235.29912248621</v>
      </c>
      <c r="T276" s="81">
        <f t="shared" si="79"/>
        <v>202350.92155321315</v>
      </c>
      <c r="U276" s="82">
        <f t="shared" si="80"/>
        <v>2039</v>
      </c>
      <c r="V276" s="414">
        <v>17.1666666666666</v>
      </c>
      <c r="W276" s="185"/>
      <c r="X276" s="185"/>
    </row>
    <row r="277" spans="1:24" s="113" customFormat="1" x14ac:dyDescent="0.2">
      <c r="A277" s="73">
        <v>207</v>
      </c>
      <c r="B277" s="74">
        <f t="shared" si="63"/>
        <v>0</v>
      </c>
      <c r="C277" s="75">
        <f t="shared" si="64"/>
        <v>0</v>
      </c>
      <c r="D277" s="75">
        <f t="shared" si="65"/>
        <v>159.28389816204339</v>
      </c>
      <c r="E277" s="54">
        <f t="shared" si="69"/>
        <v>159.28389816204339</v>
      </c>
      <c r="F277" s="76">
        <f t="shared" si="82"/>
        <v>36993.015634835727</v>
      </c>
      <c r="G277" s="77">
        <f t="shared" si="81"/>
        <v>325.0289117714949</v>
      </c>
      <c r="H277" s="79">
        <f t="shared" si="70"/>
        <v>67280.984736699334</v>
      </c>
      <c r="I277" s="78">
        <f t="shared" si="66"/>
        <v>165.74501360945152</v>
      </c>
      <c r="J277" s="76">
        <f t="shared" si="71"/>
        <v>55318.472222222219</v>
      </c>
      <c r="K277" s="80">
        <f t="shared" si="67"/>
        <v>106.18926544136225</v>
      </c>
      <c r="L277" s="78">
        <f t="shared" si="72"/>
        <v>6.8111585332906976</v>
      </c>
      <c r="M277" s="59">
        <f t="shared" si="68"/>
        <v>27443.599179323617</v>
      </c>
      <c r="N277" s="80">
        <f t="shared" si="73"/>
        <v>82762.071401545836</v>
      </c>
      <c r="O277" s="54">
        <f t="shared" si="74"/>
        <v>42356.121188994046</v>
      </c>
      <c r="P277" s="54">
        <f t="shared" si="75"/>
        <v>2884.9457086666657</v>
      </c>
      <c r="Q277" s="54">
        <f t="shared" si="76"/>
        <v>478165.36574548529</v>
      </c>
      <c r="R277" s="54">
        <f t="shared" si="77"/>
        <v>244716.32762344257</v>
      </c>
      <c r="S277" s="54">
        <f t="shared" si="78"/>
        <v>395403.29434393946</v>
      </c>
      <c r="T277" s="81">
        <f t="shared" si="79"/>
        <v>202360.20643444854</v>
      </c>
      <c r="U277" s="82">
        <f t="shared" si="80"/>
        <v>2039</v>
      </c>
      <c r="V277" s="414">
        <v>17.25</v>
      </c>
      <c r="W277" s="185"/>
      <c r="X277" s="185"/>
    </row>
    <row r="278" spans="1:24" s="113" customFormat="1" x14ac:dyDescent="0.2">
      <c r="A278" s="73">
        <v>208</v>
      </c>
      <c r="B278" s="74">
        <f t="shared" si="63"/>
        <v>0</v>
      </c>
      <c r="C278" s="75">
        <f t="shared" si="64"/>
        <v>0</v>
      </c>
      <c r="D278" s="75">
        <f t="shared" si="65"/>
        <v>159.28389816204339</v>
      </c>
      <c r="E278" s="54">
        <f t="shared" si="69"/>
        <v>159.28389816204339</v>
      </c>
      <c r="F278" s="76">
        <f t="shared" si="82"/>
        <v>37152.299532997771</v>
      </c>
      <c r="G278" s="77">
        <f t="shared" si="81"/>
        <v>325.0289117714949</v>
      </c>
      <c r="H278" s="79">
        <f t="shared" si="70"/>
        <v>67606.013648470835</v>
      </c>
      <c r="I278" s="78">
        <f t="shared" si="66"/>
        <v>165.74501360945152</v>
      </c>
      <c r="J278" s="76">
        <f t="shared" si="71"/>
        <v>55318.472222222219</v>
      </c>
      <c r="K278" s="80">
        <f t="shared" si="67"/>
        <v>106.18926544136225</v>
      </c>
      <c r="L278" s="78">
        <f t="shared" si="72"/>
        <v>6.8111585332906976</v>
      </c>
      <c r="M278" s="59">
        <f t="shared" si="68"/>
        <v>27443.599179323617</v>
      </c>
      <c r="N278" s="80">
        <f t="shared" si="73"/>
        <v>82762.071401545836</v>
      </c>
      <c r="O278" s="54">
        <f t="shared" si="74"/>
        <v>42232.941775482213</v>
      </c>
      <c r="P278" s="54">
        <f t="shared" si="75"/>
        <v>2891.9926489999998</v>
      </c>
      <c r="Q278" s="54">
        <f t="shared" si="76"/>
        <v>479333.36096693872</v>
      </c>
      <c r="R278" s="54">
        <f t="shared" si="77"/>
        <v>244600.66769649278</v>
      </c>
      <c r="S278" s="54">
        <f t="shared" si="78"/>
        <v>396571.28956539289</v>
      </c>
      <c r="T278" s="81">
        <f t="shared" si="79"/>
        <v>202367.72592101057</v>
      </c>
      <c r="U278" s="82">
        <f t="shared" si="80"/>
        <v>2039</v>
      </c>
      <c r="V278" s="414">
        <v>17.3333333333333</v>
      </c>
      <c r="W278" s="185"/>
      <c r="X278" s="185"/>
    </row>
    <row r="279" spans="1:24" s="113" customFormat="1" x14ac:dyDescent="0.2">
      <c r="A279" s="73">
        <v>209</v>
      </c>
      <c r="B279" s="74">
        <f t="shared" si="63"/>
        <v>0</v>
      </c>
      <c r="C279" s="75">
        <f t="shared" si="64"/>
        <v>0</v>
      </c>
      <c r="D279" s="75">
        <f t="shared" si="65"/>
        <v>159.28389816204339</v>
      </c>
      <c r="E279" s="54">
        <f t="shared" si="69"/>
        <v>159.28389816204339</v>
      </c>
      <c r="F279" s="76">
        <f t="shared" si="82"/>
        <v>37311.583431159816</v>
      </c>
      <c r="G279" s="77">
        <f t="shared" si="81"/>
        <v>325.0289117714949</v>
      </c>
      <c r="H279" s="79">
        <f t="shared" si="70"/>
        <v>67931.042560242335</v>
      </c>
      <c r="I279" s="78">
        <f t="shared" si="66"/>
        <v>165.74501360945152</v>
      </c>
      <c r="J279" s="76">
        <f t="shared" si="71"/>
        <v>55318.472222222219</v>
      </c>
      <c r="K279" s="80">
        <f t="shared" si="67"/>
        <v>106.18926544136225</v>
      </c>
      <c r="L279" s="78">
        <f t="shared" si="72"/>
        <v>6.8111585332906976</v>
      </c>
      <c r="M279" s="59">
        <f t="shared" si="68"/>
        <v>27443.599179323617</v>
      </c>
      <c r="N279" s="80">
        <f t="shared" si="73"/>
        <v>82762.071401545836</v>
      </c>
      <c r="O279" s="54">
        <f t="shared" si="74"/>
        <v>42110.120590426814</v>
      </c>
      <c r="P279" s="54">
        <f t="shared" si="75"/>
        <v>2899.0395893333325</v>
      </c>
      <c r="Q279" s="54">
        <f t="shared" si="76"/>
        <v>480501.35618839192</v>
      </c>
      <c r="R279" s="54">
        <f t="shared" si="77"/>
        <v>244483.61079298551</v>
      </c>
      <c r="S279" s="54">
        <f t="shared" si="78"/>
        <v>397739.28478684608</v>
      </c>
      <c r="T279" s="81">
        <f t="shared" si="79"/>
        <v>202373.49020255869</v>
      </c>
      <c r="U279" s="82">
        <f t="shared" si="80"/>
        <v>2039</v>
      </c>
      <c r="V279" s="414">
        <v>17.4166666666666</v>
      </c>
      <c r="W279" s="185"/>
      <c r="X279" s="185"/>
    </row>
    <row r="280" spans="1:24" s="113" customFormat="1" x14ac:dyDescent="0.2">
      <c r="A280" s="73">
        <v>210</v>
      </c>
      <c r="B280" s="74">
        <f t="shared" si="63"/>
        <v>0</v>
      </c>
      <c r="C280" s="75">
        <f t="shared" si="64"/>
        <v>0</v>
      </c>
      <c r="D280" s="75">
        <f t="shared" si="65"/>
        <v>159.28389816204339</v>
      </c>
      <c r="E280" s="54">
        <f t="shared" si="69"/>
        <v>159.28389816204339</v>
      </c>
      <c r="F280" s="76">
        <f t="shared" si="82"/>
        <v>37470.86732932186</v>
      </c>
      <c r="G280" s="77">
        <f t="shared" si="81"/>
        <v>325.0289117714949</v>
      </c>
      <c r="H280" s="79">
        <f t="shared" si="70"/>
        <v>68256.071472013835</v>
      </c>
      <c r="I280" s="78">
        <f t="shared" si="66"/>
        <v>165.74501360945152</v>
      </c>
      <c r="J280" s="76">
        <f t="shared" si="71"/>
        <v>55318.472222222219</v>
      </c>
      <c r="K280" s="80">
        <f t="shared" si="67"/>
        <v>106.18926544136225</v>
      </c>
      <c r="L280" s="78">
        <f t="shared" si="72"/>
        <v>6.8111585332906976</v>
      </c>
      <c r="M280" s="59">
        <f t="shared" si="68"/>
        <v>27443.599179323617</v>
      </c>
      <c r="N280" s="80">
        <f t="shared" si="73"/>
        <v>82762.071401545836</v>
      </c>
      <c r="O280" s="54">
        <f t="shared" si="74"/>
        <v>41987.656592033381</v>
      </c>
      <c r="P280" s="54">
        <f t="shared" si="75"/>
        <v>2906.0865296666661</v>
      </c>
      <c r="Q280" s="54">
        <f t="shared" si="76"/>
        <v>481669.35140984529</v>
      </c>
      <c r="R280" s="54">
        <f t="shared" si="77"/>
        <v>244365.16601644995</v>
      </c>
      <c r="S280" s="54">
        <f t="shared" si="78"/>
        <v>398907.28000829945</v>
      </c>
      <c r="T280" s="81">
        <f t="shared" si="79"/>
        <v>202377.50942441658</v>
      </c>
      <c r="U280" s="82">
        <f t="shared" si="80"/>
        <v>2039</v>
      </c>
      <c r="V280" s="414">
        <v>17.5</v>
      </c>
      <c r="W280" s="185"/>
      <c r="X280" s="185"/>
    </row>
    <row r="281" spans="1:24" s="113" customFormat="1" x14ac:dyDescent="0.2">
      <c r="A281" s="73">
        <v>211</v>
      </c>
      <c r="B281" s="74">
        <f t="shared" si="63"/>
        <v>0</v>
      </c>
      <c r="C281" s="75">
        <f t="shared" si="64"/>
        <v>0</v>
      </c>
      <c r="D281" s="75">
        <f t="shared" si="65"/>
        <v>159.28389816204339</v>
      </c>
      <c r="E281" s="54">
        <f t="shared" si="69"/>
        <v>159.28389816204339</v>
      </c>
      <c r="F281" s="76">
        <f t="shared" si="82"/>
        <v>37630.151227483904</v>
      </c>
      <c r="G281" s="77">
        <f t="shared" si="81"/>
        <v>325.0289117714949</v>
      </c>
      <c r="H281" s="79">
        <f t="shared" si="70"/>
        <v>68581.100383785335</v>
      </c>
      <c r="I281" s="78">
        <f t="shared" si="66"/>
        <v>165.74501360945152</v>
      </c>
      <c r="J281" s="76">
        <f t="shared" si="71"/>
        <v>55318.472222222219</v>
      </c>
      <c r="K281" s="80">
        <f t="shared" si="67"/>
        <v>106.18926544136225</v>
      </c>
      <c r="L281" s="78">
        <f t="shared" si="72"/>
        <v>6.8111585332906976</v>
      </c>
      <c r="M281" s="59">
        <f t="shared" si="68"/>
        <v>27443.599179323617</v>
      </c>
      <c r="N281" s="80">
        <f t="shared" si="73"/>
        <v>82762.071401545836</v>
      </c>
      <c r="O281" s="54">
        <f t="shared" si="74"/>
        <v>41865.548741537226</v>
      </c>
      <c r="P281" s="54">
        <f t="shared" si="75"/>
        <v>2913.1334699999993</v>
      </c>
      <c r="Q281" s="54">
        <f t="shared" si="76"/>
        <v>482837.3466312986</v>
      </c>
      <c r="R281" s="54">
        <f t="shared" si="77"/>
        <v>244245.34242928063</v>
      </c>
      <c r="S281" s="54">
        <f t="shared" si="78"/>
        <v>400075.27522975276</v>
      </c>
      <c r="T281" s="81">
        <f t="shared" si="79"/>
        <v>202379.7936877434</v>
      </c>
      <c r="U281" s="82">
        <f t="shared" si="80"/>
        <v>2039</v>
      </c>
      <c r="V281" s="414">
        <v>17.5833333333333</v>
      </c>
      <c r="W281" s="185"/>
      <c r="X281" s="185"/>
    </row>
    <row r="282" spans="1:24" s="113" customFormat="1" x14ac:dyDescent="0.2">
      <c r="A282" s="73">
        <v>212</v>
      </c>
      <c r="B282" s="74">
        <f t="shared" si="63"/>
        <v>0</v>
      </c>
      <c r="C282" s="75">
        <f t="shared" si="64"/>
        <v>0</v>
      </c>
      <c r="D282" s="75">
        <f t="shared" si="65"/>
        <v>159.28389816204339</v>
      </c>
      <c r="E282" s="54">
        <f t="shared" si="69"/>
        <v>159.28389816204339</v>
      </c>
      <c r="F282" s="76">
        <f t="shared" si="82"/>
        <v>37789.435125645949</v>
      </c>
      <c r="G282" s="77">
        <f t="shared" si="81"/>
        <v>325.0289117714949</v>
      </c>
      <c r="H282" s="79">
        <f t="shared" si="70"/>
        <v>68906.129295556835</v>
      </c>
      <c r="I282" s="78">
        <f t="shared" si="66"/>
        <v>165.74501360945152</v>
      </c>
      <c r="J282" s="76">
        <f t="shared" si="71"/>
        <v>55318.472222222219</v>
      </c>
      <c r="K282" s="80">
        <f t="shared" si="67"/>
        <v>106.18926544136225</v>
      </c>
      <c r="L282" s="78">
        <f t="shared" si="72"/>
        <v>6.8111585332906976</v>
      </c>
      <c r="M282" s="59">
        <f t="shared" si="68"/>
        <v>27443.599179323617</v>
      </c>
      <c r="N282" s="80">
        <f t="shared" si="73"/>
        <v>82762.071401545836</v>
      </c>
      <c r="O282" s="54">
        <f t="shared" si="74"/>
        <v>41743.796003194569</v>
      </c>
      <c r="P282" s="54">
        <f t="shared" si="75"/>
        <v>2920.1804103333329</v>
      </c>
      <c r="Q282" s="54">
        <f t="shared" si="76"/>
        <v>484005.34185275197</v>
      </c>
      <c r="R282" s="54">
        <f t="shared" si="77"/>
        <v>244124.14905290003</v>
      </c>
      <c r="S282" s="54">
        <f t="shared" si="78"/>
        <v>401243.27045120613</v>
      </c>
      <c r="T282" s="81">
        <f t="shared" si="79"/>
        <v>202380.35304970545</v>
      </c>
      <c r="U282" s="82">
        <f t="shared" si="80"/>
        <v>2039</v>
      </c>
      <c r="V282" s="414">
        <v>17.6666666666666</v>
      </c>
      <c r="W282" s="185"/>
      <c r="X282" s="185"/>
    </row>
    <row r="283" spans="1:24" s="113" customFormat="1" x14ac:dyDescent="0.2">
      <c r="A283" s="73">
        <v>213</v>
      </c>
      <c r="B283" s="74">
        <f t="shared" si="63"/>
        <v>0</v>
      </c>
      <c r="C283" s="75">
        <f t="shared" si="64"/>
        <v>0</v>
      </c>
      <c r="D283" s="75">
        <f t="shared" si="65"/>
        <v>159.28389816204339</v>
      </c>
      <c r="E283" s="54">
        <f t="shared" si="69"/>
        <v>159.28389816204339</v>
      </c>
      <c r="F283" s="76">
        <f t="shared" si="82"/>
        <v>37948.719023807993</v>
      </c>
      <c r="G283" s="77">
        <f t="shared" si="81"/>
        <v>325.0289117714949</v>
      </c>
      <c r="H283" s="79">
        <f t="shared" si="70"/>
        <v>69231.158207328335</v>
      </c>
      <c r="I283" s="78">
        <f t="shared" si="66"/>
        <v>165.74501360945152</v>
      </c>
      <c r="J283" s="76">
        <f t="shared" si="71"/>
        <v>55318.472222222219</v>
      </c>
      <c r="K283" s="80">
        <f t="shared" si="67"/>
        <v>106.18926544136225</v>
      </c>
      <c r="L283" s="78">
        <f t="shared" si="72"/>
        <v>6.8111585332906976</v>
      </c>
      <c r="M283" s="59">
        <f t="shared" si="68"/>
        <v>27443.599179323617</v>
      </c>
      <c r="N283" s="80">
        <f t="shared" si="73"/>
        <v>82762.071401545836</v>
      </c>
      <c r="O283" s="54">
        <f t="shared" si="74"/>
        <v>41622.397344273777</v>
      </c>
      <c r="P283" s="54">
        <f t="shared" si="75"/>
        <v>2927.2273506666661</v>
      </c>
      <c r="Q283" s="54">
        <f t="shared" si="76"/>
        <v>485173.33707420528</v>
      </c>
      <c r="R283" s="54">
        <f t="shared" si="77"/>
        <v>244001.59486791992</v>
      </c>
      <c r="S283" s="54">
        <f t="shared" si="78"/>
        <v>402411.26567265944</v>
      </c>
      <c r="T283" s="81">
        <f t="shared" si="79"/>
        <v>202379.19752364614</v>
      </c>
      <c r="U283" s="82">
        <f t="shared" si="80"/>
        <v>2039</v>
      </c>
      <c r="V283" s="414">
        <v>17.75</v>
      </c>
      <c r="W283" s="185"/>
      <c r="X283" s="185"/>
    </row>
    <row r="284" spans="1:24" s="113" customFormat="1" x14ac:dyDescent="0.2">
      <c r="A284" s="73">
        <v>214</v>
      </c>
      <c r="B284" s="74">
        <f t="shared" si="63"/>
        <v>0</v>
      </c>
      <c r="C284" s="75">
        <f t="shared" si="64"/>
        <v>0</v>
      </c>
      <c r="D284" s="75">
        <f t="shared" si="65"/>
        <v>159.28389816204339</v>
      </c>
      <c r="E284" s="54">
        <f t="shared" si="69"/>
        <v>159.28389816204339</v>
      </c>
      <c r="F284" s="76">
        <f t="shared" si="82"/>
        <v>38108.002921970037</v>
      </c>
      <c r="G284" s="77">
        <f t="shared" si="81"/>
        <v>325.0289117714949</v>
      </c>
      <c r="H284" s="79">
        <f t="shared" si="70"/>
        <v>69556.187119099835</v>
      </c>
      <c r="I284" s="78">
        <f t="shared" si="66"/>
        <v>165.74501360945152</v>
      </c>
      <c r="J284" s="76">
        <f t="shared" si="71"/>
        <v>55318.472222222219</v>
      </c>
      <c r="K284" s="80">
        <f t="shared" si="67"/>
        <v>106.18926544136225</v>
      </c>
      <c r="L284" s="78">
        <f t="shared" si="72"/>
        <v>6.8111585332906976</v>
      </c>
      <c r="M284" s="59">
        <f t="shared" si="68"/>
        <v>27443.599179323617</v>
      </c>
      <c r="N284" s="80">
        <f t="shared" si="73"/>
        <v>82762.071401545836</v>
      </c>
      <c r="O284" s="54">
        <f t="shared" si="74"/>
        <v>41501.351735046563</v>
      </c>
      <c r="P284" s="54">
        <f t="shared" si="75"/>
        <v>2934.2742909999997</v>
      </c>
      <c r="Q284" s="54">
        <f t="shared" si="76"/>
        <v>486341.33229565865</v>
      </c>
      <c r="R284" s="54">
        <f t="shared" si="77"/>
        <v>243877.68881430262</v>
      </c>
      <c r="S284" s="54">
        <f t="shared" si="78"/>
        <v>403579.26089411281</v>
      </c>
      <c r="T284" s="81">
        <f t="shared" si="79"/>
        <v>202376.33707925605</v>
      </c>
      <c r="U284" s="82">
        <f t="shared" si="80"/>
        <v>2039</v>
      </c>
      <c r="V284" s="414">
        <v>17.8333333333333</v>
      </c>
      <c r="W284" s="185"/>
      <c r="X284" s="185"/>
    </row>
    <row r="285" spans="1:24" s="113" customFormat="1" x14ac:dyDescent="0.2">
      <c r="A285" s="73">
        <v>215</v>
      </c>
      <c r="B285" s="74">
        <f t="shared" si="63"/>
        <v>0</v>
      </c>
      <c r="C285" s="75">
        <f t="shared" si="64"/>
        <v>0</v>
      </c>
      <c r="D285" s="75">
        <f t="shared" si="65"/>
        <v>159.28389816204339</v>
      </c>
      <c r="E285" s="54">
        <f t="shared" si="69"/>
        <v>159.28389816204339</v>
      </c>
      <c r="F285" s="76">
        <f t="shared" si="82"/>
        <v>38267.286820132082</v>
      </c>
      <c r="G285" s="77">
        <f t="shared" si="81"/>
        <v>325.0289117714949</v>
      </c>
      <c r="H285" s="79">
        <f t="shared" si="70"/>
        <v>69881.216030871336</v>
      </c>
      <c r="I285" s="78">
        <f t="shared" si="66"/>
        <v>165.74501360945152</v>
      </c>
      <c r="J285" s="76">
        <f t="shared" si="71"/>
        <v>55318.472222222219</v>
      </c>
      <c r="K285" s="80">
        <f t="shared" si="67"/>
        <v>106.18926544136225</v>
      </c>
      <c r="L285" s="78">
        <f t="shared" si="72"/>
        <v>6.8111585332906976</v>
      </c>
      <c r="M285" s="59">
        <f t="shared" si="68"/>
        <v>27443.599179323617</v>
      </c>
      <c r="N285" s="80">
        <f t="shared" si="73"/>
        <v>82762.071401545836</v>
      </c>
      <c r="O285" s="54">
        <f t="shared" si="74"/>
        <v>41380.658148779286</v>
      </c>
      <c r="P285" s="54">
        <f t="shared" si="75"/>
        <v>2941.3212313333329</v>
      </c>
      <c r="Q285" s="54">
        <f t="shared" si="76"/>
        <v>487509.32751711196</v>
      </c>
      <c r="R285" s="54">
        <f t="shared" si="77"/>
        <v>243752.43979152132</v>
      </c>
      <c r="S285" s="54">
        <f t="shared" si="78"/>
        <v>404747.25611556612</v>
      </c>
      <c r="T285" s="81">
        <f t="shared" si="79"/>
        <v>202371.78164274202</v>
      </c>
      <c r="U285" s="82">
        <f t="shared" si="80"/>
        <v>2039</v>
      </c>
      <c r="V285" s="414">
        <v>17.9166666666666</v>
      </c>
      <c r="W285" s="185"/>
      <c r="X285" s="185"/>
    </row>
    <row r="286" spans="1:24" s="113" customFormat="1" x14ac:dyDescent="0.2">
      <c r="A286" s="73">
        <v>216</v>
      </c>
      <c r="B286" s="74">
        <f t="shared" si="63"/>
        <v>0</v>
      </c>
      <c r="C286" s="75">
        <f t="shared" si="64"/>
        <v>0</v>
      </c>
      <c r="D286" s="75">
        <f t="shared" si="65"/>
        <v>159.28389816204339</v>
      </c>
      <c r="E286" s="54">
        <f t="shared" si="69"/>
        <v>159.28389816204339</v>
      </c>
      <c r="F286" s="76">
        <f t="shared" si="82"/>
        <v>38426.570718294126</v>
      </c>
      <c r="G286" s="77">
        <f t="shared" si="81"/>
        <v>325.0289117714949</v>
      </c>
      <c r="H286" s="79">
        <f t="shared" si="70"/>
        <v>70206.244942642836</v>
      </c>
      <c r="I286" s="78">
        <f t="shared" si="66"/>
        <v>165.74501360945152</v>
      </c>
      <c r="J286" s="76">
        <f t="shared" si="71"/>
        <v>55318.472222222219</v>
      </c>
      <c r="K286" s="80">
        <f t="shared" si="67"/>
        <v>106.18926544136225</v>
      </c>
      <c r="L286" s="78">
        <f t="shared" si="72"/>
        <v>6.8111585332906976</v>
      </c>
      <c r="M286" s="59">
        <f t="shared" si="68"/>
        <v>27443.599179323617</v>
      </c>
      <c r="N286" s="80">
        <f t="shared" si="73"/>
        <v>82762.071401545836</v>
      </c>
      <c r="O286" s="54">
        <f t="shared" si="74"/>
        <v>41260.315561724252</v>
      </c>
      <c r="P286" s="54">
        <f t="shared" si="75"/>
        <v>2948.3681716666656</v>
      </c>
      <c r="Q286" s="54">
        <f t="shared" si="76"/>
        <v>488677.32273856516</v>
      </c>
      <c r="R286" s="54">
        <f t="shared" si="77"/>
        <v>243625.85665872009</v>
      </c>
      <c r="S286" s="54">
        <f t="shared" si="78"/>
        <v>405915.25133701932</v>
      </c>
      <c r="T286" s="81">
        <f t="shared" si="79"/>
        <v>202365.54109699585</v>
      </c>
      <c r="U286" s="82">
        <f t="shared" si="80"/>
        <v>2039</v>
      </c>
      <c r="V286" s="414">
        <v>18</v>
      </c>
      <c r="W286" s="185"/>
      <c r="X286" s="185"/>
    </row>
    <row r="287" spans="1:24" s="113" customFormat="1" x14ac:dyDescent="0.2">
      <c r="A287" s="73">
        <v>217</v>
      </c>
      <c r="B287" s="74">
        <f t="shared" si="63"/>
        <v>0</v>
      </c>
      <c r="C287" s="75">
        <f t="shared" si="64"/>
        <v>0</v>
      </c>
      <c r="D287" s="75">
        <f t="shared" si="65"/>
        <v>159.28389816204339</v>
      </c>
      <c r="E287" s="54">
        <f t="shared" si="69"/>
        <v>159.28389816204339</v>
      </c>
      <c r="F287" s="76">
        <f t="shared" si="82"/>
        <v>38585.85461645617</v>
      </c>
      <c r="G287" s="77">
        <f t="shared" si="81"/>
        <v>325.0289117714949</v>
      </c>
      <c r="H287" s="79">
        <f t="shared" si="70"/>
        <v>70531.273854414336</v>
      </c>
      <c r="I287" s="78">
        <f t="shared" si="66"/>
        <v>165.74501360945152</v>
      </c>
      <c r="J287" s="76">
        <f t="shared" si="71"/>
        <v>55318.472222222219</v>
      </c>
      <c r="K287" s="80">
        <f t="shared" si="67"/>
        <v>106.18926544136225</v>
      </c>
      <c r="L287" s="78">
        <f t="shared" si="72"/>
        <v>6.8111585332906976</v>
      </c>
      <c r="M287" s="59">
        <f t="shared" si="68"/>
        <v>27443.599179323617</v>
      </c>
      <c r="N287" s="80">
        <f t="shared" si="73"/>
        <v>82762.071401545836</v>
      </c>
      <c r="O287" s="54">
        <f t="shared" si="74"/>
        <v>41140.322953111019</v>
      </c>
      <c r="P287" s="54">
        <f t="shared" si="75"/>
        <v>2955.4151119999992</v>
      </c>
      <c r="Q287" s="54">
        <f t="shared" si="76"/>
        <v>489845.31796001858</v>
      </c>
      <c r="R287" s="54">
        <f t="shared" si="77"/>
        <v>243497.94823487356</v>
      </c>
      <c r="S287" s="54">
        <f t="shared" si="78"/>
        <v>407083.24655847275</v>
      </c>
      <c r="T287" s="81">
        <f t="shared" si="79"/>
        <v>202357.62528176254</v>
      </c>
      <c r="U287" s="376">
        <f t="shared" si="80"/>
        <v>2040</v>
      </c>
      <c r="V287" s="414">
        <v>18.0833333333333</v>
      </c>
      <c r="W287" s="185"/>
      <c r="X287" s="185"/>
    </row>
    <row r="288" spans="1:24" s="113" customFormat="1" x14ac:dyDescent="0.2">
      <c r="A288" s="73">
        <v>218</v>
      </c>
      <c r="B288" s="74">
        <f t="shared" si="63"/>
        <v>0</v>
      </c>
      <c r="C288" s="75">
        <f t="shared" si="64"/>
        <v>0</v>
      </c>
      <c r="D288" s="75">
        <f t="shared" si="65"/>
        <v>159.28389816204339</v>
      </c>
      <c r="E288" s="54">
        <f t="shared" si="69"/>
        <v>159.28389816204339</v>
      </c>
      <c r="F288" s="76">
        <f t="shared" si="82"/>
        <v>38745.138514618215</v>
      </c>
      <c r="G288" s="77">
        <f t="shared" si="81"/>
        <v>325.0289117714949</v>
      </c>
      <c r="H288" s="79">
        <f t="shared" si="70"/>
        <v>70856.302766185836</v>
      </c>
      <c r="I288" s="78">
        <f t="shared" si="66"/>
        <v>165.74501360945152</v>
      </c>
      <c r="J288" s="76">
        <f t="shared" si="71"/>
        <v>55318.472222222219</v>
      </c>
      <c r="K288" s="80">
        <f t="shared" si="67"/>
        <v>106.18926544136225</v>
      </c>
      <c r="L288" s="78">
        <f t="shared" si="72"/>
        <v>6.8111585332906976</v>
      </c>
      <c r="M288" s="59">
        <f t="shared" si="68"/>
        <v>27443.599179323617</v>
      </c>
      <c r="N288" s="80">
        <f t="shared" si="73"/>
        <v>82762.071401545836</v>
      </c>
      <c r="O288" s="54">
        <f t="shared" si="74"/>
        <v>41020.67930513771</v>
      </c>
      <c r="P288" s="54">
        <f t="shared" si="75"/>
        <v>2962.4620523333333</v>
      </c>
      <c r="Q288" s="54">
        <f t="shared" si="76"/>
        <v>491013.31318147201</v>
      </c>
      <c r="R288" s="54">
        <f t="shared" si="77"/>
        <v>243368.72329894465</v>
      </c>
      <c r="S288" s="54">
        <f t="shared" si="78"/>
        <v>408251.24177992617</v>
      </c>
      <c r="T288" s="81">
        <f t="shared" si="79"/>
        <v>202348.04399380696</v>
      </c>
      <c r="U288" s="82">
        <f t="shared" si="80"/>
        <v>2040</v>
      </c>
      <c r="V288" s="414">
        <v>18.1666666666666</v>
      </c>
      <c r="W288" s="185"/>
      <c r="X288" s="185"/>
    </row>
    <row r="289" spans="1:24" s="113" customFormat="1" x14ac:dyDescent="0.2">
      <c r="A289" s="73">
        <v>219</v>
      </c>
      <c r="B289" s="74">
        <f t="shared" si="63"/>
        <v>0</v>
      </c>
      <c r="C289" s="75">
        <f t="shared" si="64"/>
        <v>0</v>
      </c>
      <c r="D289" s="75">
        <f t="shared" si="65"/>
        <v>159.28389816204339</v>
      </c>
      <c r="E289" s="54">
        <f t="shared" si="69"/>
        <v>159.28389816204339</v>
      </c>
      <c r="F289" s="76">
        <f t="shared" si="82"/>
        <v>38904.422412780259</v>
      </c>
      <c r="G289" s="77">
        <f t="shared" si="81"/>
        <v>325.0289117714949</v>
      </c>
      <c r="H289" s="79">
        <f t="shared" si="70"/>
        <v>71181.331677957336</v>
      </c>
      <c r="I289" s="78">
        <f t="shared" si="66"/>
        <v>165.74501360945152</v>
      </c>
      <c r="J289" s="76">
        <f t="shared" si="71"/>
        <v>55318.472222222219</v>
      </c>
      <c r="K289" s="80">
        <f t="shared" si="67"/>
        <v>106.18926544136225</v>
      </c>
      <c r="L289" s="78">
        <f t="shared" si="72"/>
        <v>6.8111585332906976</v>
      </c>
      <c r="M289" s="59">
        <f t="shared" si="68"/>
        <v>27443.599179323617</v>
      </c>
      <c r="N289" s="80">
        <f t="shared" si="73"/>
        <v>82762.071401545836</v>
      </c>
      <c r="O289" s="54">
        <f t="shared" si="74"/>
        <v>40901.3836029624</v>
      </c>
      <c r="P289" s="54">
        <f t="shared" si="75"/>
        <v>2969.508992666666</v>
      </c>
      <c r="Q289" s="54">
        <f t="shared" si="76"/>
        <v>492181.30840292521</v>
      </c>
      <c r="R289" s="54">
        <f t="shared" si="77"/>
        <v>243238.19059004338</v>
      </c>
      <c r="S289" s="54">
        <f t="shared" si="78"/>
        <v>409419.23700137937</v>
      </c>
      <c r="T289" s="81">
        <f t="shared" si="79"/>
        <v>202336.80698708098</v>
      </c>
      <c r="U289" s="82">
        <f t="shared" si="80"/>
        <v>2040</v>
      </c>
      <c r="V289" s="414">
        <v>18.25</v>
      </c>
      <c r="W289" s="185"/>
      <c r="X289" s="185"/>
    </row>
    <row r="290" spans="1:24" s="113" customFormat="1" x14ac:dyDescent="0.2">
      <c r="A290" s="73">
        <v>220</v>
      </c>
      <c r="B290" s="74">
        <f t="shared" si="63"/>
        <v>0</v>
      </c>
      <c r="C290" s="75">
        <f t="shared" si="64"/>
        <v>0</v>
      </c>
      <c r="D290" s="75">
        <f t="shared" si="65"/>
        <v>159.28389816204339</v>
      </c>
      <c r="E290" s="54">
        <f t="shared" si="69"/>
        <v>159.28389816204339</v>
      </c>
      <c r="F290" s="76">
        <f t="shared" si="82"/>
        <v>39063.706310942303</v>
      </c>
      <c r="G290" s="77">
        <f t="shared" si="81"/>
        <v>325.0289117714949</v>
      </c>
      <c r="H290" s="79">
        <f t="shared" si="70"/>
        <v>71506.360589728836</v>
      </c>
      <c r="I290" s="78">
        <f t="shared" si="66"/>
        <v>165.74501360945152</v>
      </c>
      <c r="J290" s="76">
        <f t="shared" si="71"/>
        <v>55318.472222222219</v>
      </c>
      <c r="K290" s="80">
        <f t="shared" si="67"/>
        <v>106.18926544136225</v>
      </c>
      <c r="L290" s="78">
        <f t="shared" si="72"/>
        <v>6.8111585332906976</v>
      </c>
      <c r="M290" s="59">
        <f t="shared" si="68"/>
        <v>27443.599179323617</v>
      </c>
      <c r="N290" s="80">
        <f t="shared" si="73"/>
        <v>82762.071401545836</v>
      </c>
      <c r="O290" s="54">
        <f t="shared" si="74"/>
        <v>40782.434834694533</v>
      </c>
      <c r="P290" s="54">
        <f t="shared" si="75"/>
        <v>2976.5559329999992</v>
      </c>
      <c r="Q290" s="54">
        <f t="shared" si="76"/>
        <v>493349.30362437852</v>
      </c>
      <c r="R290" s="54">
        <f t="shared" si="77"/>
        <v>243106.35880758468</v>
      </c>
      <c r="S290" s="54">
        <f t="shared" si="78"/>
        <v>410587.23222283268</v>
      </c>
      <c r="T290" s="81">
        <f t="shared" si="79"/>
        <v>202323.92397289013</v>
      </c>
      <c r="U290" s="82">
        <f t="shared" si="80"/>
        <v>2040</v>
      </c>
      <c r="V290" s="414">
        <v>18.3333333333333</v>
      </c>
      <c r="W290" s="185"/>
      <c r="X290" s="185"/>
    </row>
    <row r="291" spans="1:24" s="113" customFormat="1" x14ac:dyDescent="0.2">
      <c r="A291" s="73">
        <v>221</v>
      </c>
      <c r="B291" s="74">
        <f t="shared" si="63"/>
        <v>0</v>
      </c>
      <c r="C291" s="75">
        <f t="shared" si="64"/>
        <v>0</v>
      </c>
      <c r="D291" s="75">
        <f t="shared" si="65"/>
        <v>159.28389816204339</v>
      </c>
      <c r="E291" s="54">
        <f t="shared" si="69"/>
        <v>159.28389816204339</v>
      </c>
      <c r="F291" s="76">
        <f t="shared" si="82"/>
        <v>39222.990209104348</v>
      </c>
      <c r="G291" s="77">
        <f t="shared" si="81"/>
        <v>325.0289117714949</v>
      </c>
      <c r="H291" s="79">
        <f t="shared" si="70"/>
        <v>71831.389501500336</v>
      </c>
      <c r="I291" s="78">
        <f t="shared" si="66"/>
        <v>165.74501360945152</v>
      </c>
      <c r="J291" s="76">
        <f t="shared" si="71"/>
        <v>55318.472222222219</v>
      </c>
      <c r="K291" s="80">
        <f t="shared" si="67"/>
        <v>106.18926544136225</v>
      </c>
      <c r="L291" s="78">
        <f t="shared" si="72"/>
        <v>6.8111585332906976</v>
      </c>
      <c r="M291" s="59">
        <f t="shared" si="68"/>
        <v>27443.599179323617</v>
      </c>
      <c r="N291" s="80">
        <f t="shared" si="73"/>
        <v>82762.071401545836</v>
      </c>
      <c r="O291" s="54">
        <f t="shared" si="74"/>
        <v>40663.831991386323</v>
      </c>
      <c r="P291" s="54">
        <f t="shared" si="75"/>
        <v>2983.6028733333328</v>
      </c>
      <c r="Q291" s="54">
        <f t="shared" si="76"/>
        <v>494517.29884583189</v>
      </c>
      <c r="R291" s="54">
        <f t="shared" si="77"/>
        <v>242973.23661144482</v>
      </c>
      <c r="S291" s="54">
        <f t="shared" si="78"/>
        <v>411755.22744428605</v>
      </c>
      <c r="T291" s="81">
        <f t="shared" si="79"/>
        <v>202309.40462005851</v>
      </c>
      <c r="U291" s="82">
        <f t="shared" si="80"/>
        <v>2040</v>
      </c>
      <c r="V291" s="414">
        <v>18.4166666666666</v>
      </c>
      <c r="W291" s="185"/>
      <c r="X291" s="185"/>
    </row>
    <row r="292" spans="1:24" s="113" customFormat="1" x14ac:dyDescent="0.2">
      <c r="A292" s="73">
        <v>222</v>
      </c>
      <c r="B292" s="74">
        <f t="shared" si="63"/>
        <v>0</v>
      </c>
      <c r="C292" s="75">
        <f t="shared" si="64"/>
        <v>0</v>
      </c>
      <c r="D292" s="75">
        <f t="shared" si="65"/>
        <v>159.28389816204339</v>
      </c>
      <c r="E292" s="54">
        <f t="shared" si="69"/>
        <v>159.28389816204339</v>
      </c>
      <c r="F292" s="76">
        <f t="shared" si="82"/>
        <v>39382.274107266392</v>
      </c>
      <c r="G292" s="77">
        <f t="shared" si="81"/>
        <v>325.0289117714949</v>
      </c>
      <c r="H292" s="79">
        <f t="shared" si="70"/>
        <v>72156.418413271836</v>
      </c>
      <c r="I292" s="78">
        <f t="shared" si="66"/>
        <v>165.74501360945152</v>
      </c>
      <c r="J292" s="76">
        <f t="shared" si="71"/>
        <v>55318.472222222219</v>
      </c>
      <c r="K292" s="80">
        <f t="shared" si="67"/>
        <v>106.18926544136225</v>
      </c>
      <c r="L292" s="78">
        <f t="shared" si="72"/>
        <v>6.8111585332906976</v>
      </c>
      <c r="M292" s="59">
        <f t="shared" si="68"/>
        <v>27443.599179323617</v>
      </c>
      <c r="N292" s="80">
        <f t="shared" si="73"/>
        <v>82762.071401545836</v>
      </c>
      <c r="O292" s="54">
        <f t="shared" si="74"/>
        <v>40545.574067024165</v>
      </c>
      <c r="P292" s="54">
        <f t="shared" si="75"/>
        <v>2990.6498136666664</v>
      </c>
      <c r="Q292" s="54">
        <f t="shared" si="76"/>
        <v>495685.29406728526</v>
      </c>
      <c r="R292" s="54">
        <f t="shared" si="77"/>
        <v>242838.83262211803</v>
      </c>
      <c r="S292" s="54">
        <f t="shared" si="78"/>
        <v>412923.22266573942</v>
      </c>
      <c r="T292" s="81">
        <f t="shared" si="79"/>
        <v>202293.25855509384</v>
      </c>
      <c r="U292" s="82">
        <f t="shared" si="80"/>
        <v>2040</v>
      </c>
      <c r="V292" s="414">
        <v>18.5</v>
      </c>
      <c r="W292" s="185"/>
      <c r="X292" s="185"/>
    </row>
    <row r="293" spans="1:24" s="113" customFormat="1" x14ac:dyDescent="0.2">
      <c r="A293" s="73">
        <v>223</v>
      </c>
      <c r="B293" s="74">
        <f t="shared" si="63"/>
        <v>0</v>
      </c>
      <c r="C293" s="75">
        <f t="shared" si="64"/>
        <v>0</v>
      </c>
      <c r="D293" s="75">
        <f t="shared" si="65"/>
        <v>159.28389816204339</v>
      </c>
      <c r="E293" s="54">
        <f t="shared" si="69"/>
        <v>159.28389816204339</v>
      </c>
      <c r="F293" s="76">
        <f t="shared" si="82"/>
        <v>39541.558005428436</v>
      </c>
      <c r="G293" s="77">
        <f t="shared" si="81"/>
        <v>325.0289117714949</v>
      </c>
      <c r="H293" s="79">
        <f t="shared" si="70"/>
        <v>72481.447325043337</v>
      </c>
      <c r="I293" s="78">
        <f t="shared" si="66"/>
        <v>165.74501360945152</v>
      </c>
      <c r="J293" s="76">
        <f t="shared" si="71"/>
        <v>55318.472222222219</v>
      </c>
      <c r="K293" s="80">
        <f t="shared" si="67"/>
        <v>106.18926544136225</v>
      </c>
      <c r="L293" s="78">
        <f t="shared" si="72"/>
        <v>6.8111585332906976</v>
      </c>
      <c r="M293" s="59">
        <f t="shared" si="68"/>
        <v>27443.599179323617</v>
      </c>
      <c r="N293" s="80">
        <f t="shared" si="73"/>
        <v>82762.071401545836</v>
      </c>
      <c r="O293" s="54">
        <f t="shared" si="74"/>
        <v>40427.66005852016</v>
      </c>
      <c r="P293" s="54">
        <f t="shared" si="75"/>
        <v>2997.6967539999996</v>
      </c>
      <c r="Q293" s="54">
        <f t="shared" si="76"/>
        <v>496853.28928873857</v>
      </c>
      <c r="R293" s="54">
        <f t="shared" si="77"/>
        <v>242703.15542087215</v>
      </c>
      <c r="S293" s="54">
        <f t="shared" si="78"/>
        <v>414091.21788719273</v>
      </c>
      <c r="T293" s="81">
        <f t="shared" si="79"/>
        <v>202275.495362352</v>
      </c>
      <c r="U293" s="82">
        <f t="shared" si="80"/>
        <v>2040</v>
      </c>
      <c r="V293" s="414">
        <v>18.5833333333333</v>
      </c>
      <c r="W293" s="185"/>
      <c r="X293" s="185"/>
    </row>
    <row r="294" spans="1:24" s="113" customFormat="1" x14ac:dyDescent="0.2">
      <c r="A294" s="73">
        <v>224</v>
      </c>
      <c r="B294" s="74">
        <f t="shared" si="63"/>
        <v>0</v>
      </c>
      <c r="C294" s="75">
        <f t="shared" si="64"/>
        <v>0</v>
      </c>
      <c r="D294" s="75">
        <f t="shared" si="65"/>
        <v>159.28389816204339</v>
      </c>
      <c r="E294" s="54">
        <f t="shared" si="69"/>
        <v>159.28389816204339</v>
      </c>
      <c r="F294" s="76">
        <f t="shared" si="82"/>
        <v>39700.841903590481</v>
      </c>
      <c r="G294" s="77">
        <f t="shared" si="81"/>
        <v>325.0289117714949</v>
      </c>
      <c r="H294" s="79">
        <f t="shared" si="70"/>
        <v>72806.476236814837</v>
      </c>
      <c r="I294" s="78">
        <f t="shared" si="66"/>
        <v>165.74501360945152</v>
      </c>
      <c r="J294" s="76">
        <f t="shared" si="71"/>
        <v>55318.472222222219</v>
      </c>
      <c r="K294" s="80">
        <f t="shared" si="67"/>
        <v>106.18926544136225</v>
      </c>
      <c r="L294" s="78">
        <f t="shared" si="72"/>
        <v>6.8111585332906976</v>
      </c>
      <c r="M294" s="59">
        <f t="shared" si="68"/>
        <v>27443.599179323617</v>
      </c>
      <c r="N294" s="80">
        <f t="shared" si="73"/>
        <v>82762.071401545836</v>
      </c>
      <c r="O294" s="54">
        <f t="shared" si="74"/>
        <v>40310.088965703522</v>
      </c>
      <c r="P294" s="54">
        <f t="shared" si="75"/>
        <v>3004.7436943333328</v>
      </c>
      <c r="Q294" s="54">
        <f t="shared" si="76"/>
        <v>498021.28451019188</v>
      </c>
      <c r="R294" s="54">
        <f t="shared" si="77"/>
        <v>242566.21354990412</v>
      </c>
      <c r="S294" s="54">
        <f t="shared" si="78"/>
        <v>415259.21310864604</v>
      </c>
      <c r="T294" s="81">
        <f t="shared" si="79"/>
        <v>202256.12458420059</v>
      </c>
      <c r="U294" s="82">
        <f t="shared" si="80"/>
        <v>2040</v>
      </c>
      <c r="V294" s="414">
        <v>18.6666666666666</v>
      </c>
      <c r="W294" s="185"/>
      <c r="X294" s="185"/>
    </row>
    <row r="295" spans="1:24" s="113" customFormat="1" x14ac:dyDescent="0.2">
      <c r="A295" s="73">
        <v>225</v>
      </c>
      <c r="B295" s="74">
        <f t="shared" si="63"/>
        <v>0</v>
      </c>
      <c r="C295" s="75">
        <f t="shared" si="64"/>
        <v>0</v>
      </c>
      <c r="D295" s="75">
        <f t="shared" si="65"/>
        <v>159.28389816204339</v>
      </c>
      <c r="E295" s="54">
        <f t="shared" si="69"/>
        <v>159.28389816204339</v>
      </c>
      <c r="F295" s="76">
        <f t="shared" si="82"/>
        <v>39860.125801752525</v>
      </c>
      <c r="G295" s="77">
        <f t="shared" si="81"/>
        <v>325.0289117714949</v>
      </c>
      <c r="H295" s="79">
        <f t="shared" si="70"/>
        <v>73131.505148586337</v>
      </c>
      <c r="I295" s="78">
        <f t="shared" si="66"/>
        <v>165.74501360945152</v>
      </c>
      <c r="J295" s="76">
        <f t="shared" si="71"/>
        <v>55318.472222222219</v>
      </c>
      <c r="K295" s="80">
        <f t="shared" si="67"/>
        <v>106.18926544136225</v>
      </c>
      <c r="L295" s="78">
        <f t="shared" si="72"/>
        <v>6.8111585332906976</v>
      </c>
      <c r="M295" s="59">
        <f t="shared" si="68"/>
        <v>27443.599179323617</v>
      </c>
      <c r="N295" s="80">
        <f t="shared" si="73"/>
        <v>82762.071401545836</v>
      </c>
      <c r="O295" s="54">
        <f t="shared" si="74"/>
        <v>40192.859791312199</v>
      </c>
      <c r="P295" s="54">
        <f t="shared" si="75"/>
        <v>3011.7906346666664</v>
      </c>
      <c r="Q295" s="54">
        <f t="shared" si="76"/>
        <v>499189.27973164525</v>
      </c>
      <c r="R295" s="54">
        <f t="shared" si="77"/>
        <v>242428.0155124946</v>
      </c>
      <c r="S295" s="54">
        <f t="shared" si="78"/>
        <v>416427.20833009941</v>
      </c>
      <c r="T295" s="81">
        <f t="shared" si="79"/>
        <v>202235.15572118241</v>
      </c>
      <c r="U295" s="82">
        <f t="shared" si="80"/>
        <v>2040</v>
      </c>
      <c r="V295" s="414">
        <v>18.75</v>
      </c>
      <c r="W295" s="185"/>
      <c r="X295" s="185"/>
    </row>
    <row r="296" spans="1:24" s="113" customFormat="1" x14ac:dyDescent="0.2">
      <c r="A296" s="73">
        <v>226</v>
      </c>
      <c r="B296" s="74">
        <f t="shared" si="63"/>
        <v>0</v>
      </c>
      <c r="C296" s="75">
        <f t="shared" si="64"/>
        <v>0</v>
      </c>
      <c r="D296" s="75">
        <f t="shared" si="65"/>
        <v>159.28389816204339</v>
      </c>
      <c r="E296" s="54">
        <f t="shared" si="69"/>
        <v>159.28389816204339</v>
      </c>
      <c r="F296" s="76">
        <f t="shared" si="82"/>
        <v>40019.40969991457</v>
      </c>
      <c r="G296" s="77">
        <f t="shared" si="81"/>
        <v>325.0289117714949</v>
      </c>
      <c r="H296" s="79">
        <f t="shared" si="70"/>
        <v>73456.534060357837</v>
      </c>
      <c r="I296" s="78">
        <f t="shared" si="66"/>
        <v>165.74501360945152</v>
      </c>
      <c r="J296" s="76">
        <f t="shared" si="71"/>
        <v>55318.472222222219</v>
      </c>
      <c r="K296" s="80">
        <f t="shared" si="67"/>
        <v>106.18926544136225</v>
      </c>
      <c r="L296" s="78">
        <f t="shared" si="72"/>
        <v>6.8111585332906976</v>
      </c>
      <c r="M296" s="59">
        <f t="shared" si="68"/>
        <v>27443.599179323617</v>
      </c>
      <c r="N296" s="80">
        <f t="shared" si="73"/>
        <v>82762.071401545836</v>
      </c>
      <c r="O296" s="54">
        <f t="shared" si="74"/>
        <v>40075.971540984319</v>
      </c>
      <c r="P296" s="54">
        <f t="shared" si="75"/>
        <v>3018.8375749999991</v>
      </c>
      <c r="Q296" s="54">
        <f t="shared" si="76"/>
        <v>500357.27495309844</v>
      </c>
      <c r="R296" s="54">
        <f t="shared" si="77"/>
        <v>242288.56977316181</v>
      </c>
      <c r="S296" s="54">
        <f t="shared" si="78"/>
        <v>417595.20355155261</v>
      </c>
      <c r="T296" s="81">
        <f t="shared" si="79"/>
        <v>202212.59823217749</v>
      </c>
      <c r="U296" s="82">
        <f t="shared" si="80"/>
        <v>2040</v>
      </c>
      <c r="V296" s="414">
        <v>18.8333333333333</v>
      </c>
      <c r="W296" s="185"/>
      <c r="X296" s="185"/>
    </row>
    <row r="297" spans="1:24" s="113" customFormat="1" x14ac:dyDescent="0.2">
      <c r="A297" s="73">
        <v>227</v>
      </c>
      <c r="B297" s="74">
        <f t="shared" si="63"/>
        <v>0</v>
      </c>
      <c r="C297" s="75">
        <f t="shared" si="64"/>
        <v>0</v>
      </c>
      <c r="D297" s="75">
        <f t="shared" si="65"/>
        <v>159.28389816204339</v>
      </c>
      <c r="E297" s="54">
        <f t="shared" si="69"/>
        <v>159.28389816204339</v>
      </c>
      <c r="F297" s="76">
        <f t="shared" si="82"/>
        <v>40178.693598076614</v>
      </c>
      <c r="G297" s="77">
        <f t="shared" si="81"/>
        <v>325.0289117714949</v>
      </c>
      <c r="H297" s="79">
        <f t="shared" si="70"/>
        <v>73781.562972129337</v>
      </c>
      <c r="I297" s="78">
        <f t="shared" si="66"/>
        <v>165.74501360945152</v>
      </c>
      <c r="J297" s="76">
        <f t="shared" si="71"/>
        <v>55318.472222222219</v>
      </c>
      <c r="K297" s="80">
        <f t="shared" si="67"/>
        <v>106.18926544136225</v>
      </c>
      <c r="L297" s="78">
        <f t="shared" si="72"/>
        <v>6.8111585332906976</v>
      </c>
      <c r="M297" s="59">
        <f t="shared" si="68"/>
        <v>27443.599179323617</v>
      </c>
      <c r="N297" s="80">
        <f t="shared" si="73"/>
        <v>82762.071401545836</v>
      </c>
      <c r="O297" s="54">
        <f t="shared" si="74"/>
        <v>39959.423223249847</v>
      </c>
      <c r="P297" s="54">
        <f t="shared" si="75"/>
        <v>3025.8845153333327</v>
      </c>
      <c r="Q297" s="54">
        <f t="shared" si="76"/>
        <v>501525.27017455187</v>
      </c>
      <c r="R297" s="54">
        <f t="shared" si="77"/>
        <v>242147.88475781577</v>
      </c>
      <c r="S297" s="54">
        <f t="shared" si="78"/>
        <v>418763.19877300604</v>
      </c>
      <c r="T297" s="81">
        <f t="shared" si="79"/>
        <v>202188.46153456593</v>
      </c>
      <c r="U297" s="82">
        <f t="shared" si="80"/>
        <v>2040</v>
      </c>
      <c r="V297" s="414">
        <v>18.9166666666666</v>
      </c>
      <c r="W297" s="185"/>
      <c r="X297" s="185"/>
    </row>
    <row r="298" spans="1:24" s="113" customFormat="1" x14ac:dyDescent="0.2">
      <c r="A298" s="73">
        <v>228</v>
      </c>
      <c r="B298" s="74">
        <f t="shared" si="63"/>
        <v>0</v>
      </c>
      <c r="C298" s="75">
        <f t="shared" si="64"/>
        <v>0</v>
      </c>
      <c r="D298" s="75">
        <f t="shared" si="65"/>
        <v>159.28389816204339</v>
      </c>
      <c r="E298" s="54">
        <f t="shared" si="69"/>
        <v>159.28389816204339</v>
      </c>
      <c r="F298" s="76">
        <f t="shared" si="82"/>
        <v>40337.977496238658</v>
      </c>
      <c r="G298" s="77">
        <f t="shared" si="81"/>
        <v>325.0289117714949</v>
      </c>
      <c r="H298" s="79">
        <f t="shared" si="70"/>
        <v>74106.591883900837</v>
      </c>
      <c r="I298" s="78">
        <f t="shared" si="66"/>
        <v>165.74501360945152</v>
      </c>
      <c r="J298" s="76">
        <f t="shared" si="71"/>
        <v>55318.472222222219</v>
      </c>
      <c r="K298" s="80">
        <f t="shared" si="67"/>
        <v>106.18926544136225</v>
      </c>
      <c r="L298" s="78">
        <f t="shared" si="72"/>
        <v>6.8111585332906976</v>
      </c>
      <c r="M298" s="59">
        <f t="shared" si="68"/>
        <v>27443.599179323617</v>
      </c>
      <c r="N298" s="80">
        <f t="shared" si="73"/>
        <v>82762.071401545836</v>
      </c>
      <c r="O298" s="54">
        <f t="shared" si="74"/>
        <v>39843.213849522057</v>
      </c>
      <c r="P298" s="54">
        <f t="shared" si="75"/>
        <v>3032.9314556666659</v>
      </c>
      <c r="Q298" s="54">
        <f t="shared" si="76"/>
        <v>502693.26539600512</v>
      </c>
      <c r="R298" s="54">
        <f t="shared" si="77"/>
        <v>242005.96885391002</v>
      </c>
      <c r="S298" s="54">
        <f t="shared" si="78"/>
        <v>419931.19399445929</v>
      </c>
      <c r="T298" s="81">
        <f t="shared" si="79"/>
        <v>202162.75500438796</v>
      </c>
      <c r="U298" s="82">
        <f t="shared" si="80"/>
        <v>2040</v>
      </c>
      <c r="V298" s="414">
        <v>19</v>
      </c>
      <c r="W298" s="185"/>
      <c r="X298" s="185"/>
    </row>
    <row r="299" spans="1:24" s="113" customFormat="1" x14ac:dyDescent="0.2">
      <c r="A299" s="73">
        <v>229</v>
      </c>
      <c r="B299" s="74">
        <f t="shared" si="63"/>
        <v>0</v>
      </c>
      <c r="C299" s="75">
        <f t="shared" si="64"/>
        <v>0</v>
      </c>
      <c r="D299" s="75">
        <f t="shared" si="65"/>
        <v>159.28389816204339</v>
      </c>
      <c r="E299" s="54">
        <f t="shared" si="69"/>
        <v>159.28389816204339</v>
      </c>
      <c r="F299" s="76">
        <f t="shared" si="82"/>
        <v>40497.261394400703</v>
      </c>
      <c r="G299" s="77">
        <f t="shared" si="81"/>
        <v>325.0289117714949</v>
      </c>
      <c r="H299" s="79">
        <f t="shared" si="70"/>
        <v>74431.620795672337</v>
      </c>
      <c r="I299" s="78">
        <f t="shared" si="66"/>
        <v>165.74501360945152</v>
      </c>
      <c r="J299" s="76">
        <f t="shared" si="71"/>
        <v>55318.472222222219</v>
      </c>
      <c r="K299" s="80">
        <f t="shared" si="67"/>
        <v>106.18926544136225</v>
      </c>
      <c r="L299" s="78">
        <f t="shared" si="72"/>
        <v>6.8111585332906976</v>
      </c>
      <c r="M299" s="59">
        <f t="shared" si="68"/>
        <v>27443.599179323617</v>
      </c>
      <c r="N299" s="80">
        <f t="shared" si="73"/>
        <v>82762.071401545836</v>
      </c>
      <c r="O299" s="54">
        <f t="shared" si="74"/>
        <v>39727.342434089303</v>
      </c>
      <c r="P299" s="54">
        <f t="shared" si="75"/>
        <v>3039.9783959999995</v>
      </c>
      <c r="Q299" s="54">
        <f t="shared" si="76"/>
        <v>503861.26061745849</v>
      </c>
      <c r="R299" s="54">
        <f t="shared" si="77"/>
        <v>241862.83041059566</v>
      </c>
      <c r="S299" s="54">
        <f t="shared" si="78"/>
        <v>421099.18921591266</v>
      </c>
      <c r="T299" s="81">
        <f t="shared" si="79"/>
        <v>202135.48797650635</v>
      </c>
      <c r="U299" s="376">
        <f t="shared" si="80"/>
        <v>2041</v>
      </c>
      <c r="V299" s="414">
        <v>19.0833333333333</v>
      </c>
      <c r="W299" s="185"/>
      <c r="X299" s="185"/>
    </row>
    <row r="300" spans="1:24" s="113" customFormat="1" x14ac:dyDescent="0.2">
      <c r="A300" s="73">
        <v>230</v>
      </c>
      <c r="B300" s="74">
        <f t="shared" si="63"/>
        <v>0</v>
      </c>
      <c r="C300" s="75">
        <f t="shared" si="64"/>
        <v>0</v>
      </c>
      <c r="D300" s="75">
        <f t="shared" si="65"/>
        <v>159.28389816204339</v>
      </c>
      <c r="E300" s="54">
        <f t="shared" si="69"/>
        <v>159.28389816204339</v>
      </c>
      <c r="F300" s="76">
        <f t="shared" si="82"/>
        <v>40656.545292562747</v>
      </c>
      <c r="G300" s="77">
        <f t="shared" si="81"/>
        <v>325.0289117714949</v>
      </c>
      <c r="H300" s="79">
        <f t="shared" si="70"/>
        <v>74756.649707443838</v>
      </c>
      <c r="I300" s="78">
        <f t="shared" si="66"/>
        <v>165.74501360945152</v>
      </c>
      <c r="J300" s="76">
        <f t="shared" si="71"/>
        <v>55318.472222222219</v>
      </c>
      <c r="K300" s="80">
        <f t="shared" si="67"/>
        <v>106.18926544136225</v>
      </c>
      <c r="L300" s="78">
        <f t="shared" si="72"/>
        <v>6.8111585332906976</v>
      </c>
      <c r="M300" s="59">
        <f t="shared" si="68"/>
        <v>27443.599179323617</v>
      </c>
      <c r="N300" s="80">
        <f t="shared" si="73"/>
        <v>82762.071401545836</v>
      </c>
      <c r="O300" s="54">
        <f t="shared" si="74"/>
        <v>39611.807994106501</v>
      </c>
      <c r="P300" s="54">
        <f t="shared" si="75"/>
        <v>3047.0253363333327</v>
      </c>
      <c r="Q300" s="54">
        <f t="shared" si="76"/>
        <v>505029.25583891181</v>
      </c>
      <c r="R300" s="54">
        <f t="shared" si="77"/>
        <v>241718.47773887168</v>
      </c>
      <c r="S300" s="54">
        <f t="shared" si="78"/>
        <v>422267.18443736597</v>
      </c>
      <c r="T300" s="81">
        <f t="shared" si="79"/>
        <v>202106.66974476518</v>
      </c>
      <c r="U300" s="82">
        <f t="shared" si="80"/>
        <v>2041</v>
      </c>
      <c r="V300" s="414">
        <v>19.1666666666666</v>
      </c>
      <c r="W300" s="185"/>
      <c r="X300" s="185"/>
    </row>
    <row r="301" spans="1:24" s="113" customFormat="1" x14ac:dyDescent="0.2">
      <c r="A301" s="73">
        <v>231</v>
      </c>
      <c r="B301" s="74">
        <f t="shared" si="63"/>
        <v>0</v>
      </c>
      <c r="C301" s="75">
        <f t="shared" si="64"/>
        <v>0</v>
      </c>
      <c r="D301" s="75">
        <f t="shared" si="65"/>
        <v>159.28389816204339</v>
      </c>
      <c r="E301" s="54">
        <f t="shared" si="69"/>
        <v>159.28389816204339</v>
      </c>
      <c r="F301" s="76">
        <f t="shared" si="82"/>
        <v>40815.829190724791</v>
      </c>
      <c r="G301" s="77">
        <f t="shared" si="81"/>
        <v>325.0289117714949</v>
      </c>
      <c r="H301" s="79">
        <f t="shared" si="70"/>
        <v>75081.678619215338</v>
      </c>
      <c r="I301" s="78">
        <f t="shared" si="66"/>
        <v>165.74501360945152</v>
      </c>
      <c r="J301" s="76">
        <f t="shared" si="71"/>
        <v>55318.472222222219</v>
      </c>
      <c r="K301" s="80">
        <f t="shared" si="67"/>
        <v>106.18926544136225</v>
      </c>
      <c r="L301" s="78">
        <f t="shared" si="72"/>
        <v>6.8111585332906976</v>
      </c>
      <c r="M301" s="59">
        <f t="shared" si="68"/>
        <v>27443.599179323617</v>
      </c>
      <c r="N301" s="80">
        <f t="shared" si="73"/>
        <v>82762.071401545836</v>
      </c>
      <c r="O301" s="54">
        <f t="shared" si="74"/>
        <v>39496.609549586865</v>
      </c>
      <c r="P301" s="54">
        <f t="shared" si="75"/>
        <v>3054.0722766666663</v>
      </c>
      <c r="Q301" s="54">
        <f t="shared" si="76"/>
        <v>506197.25106036518</v>
      </c>
      <c r="R301" s="54">
        <f t="shared" si="77"/>
        <v>241572.91911173705</v>
      </c>
      <c r="S301" s="54">
        <f t="shared" si="78"/>
        <v>423435.17965881934</v>
      </c>
      <c r="T301" s="81">
        <f t="shared" si="79"/>
        <v>202076.30956215019</v>
      </c>
      <c r="U301" s="82">
        <f t="shared" si="80"/>
        <v>2041</v>
      </c>
      <c r="V301" s="414">
        <v>19.25</v>
      </c>
      <c r="W301" s="185"/>
      <c r="X301" s="185"/>
    </row>
    <row r="302" spans="1:24" s="113" customFormat="1" x14ac:dyDescent="0.2">
      <c r="A302" s="73">
        <v>232</v>
      </c>
      <c r="B302" s="74">
        <f t="shared" si="63"/>
        <v>0</v>
      </c>
      <c r="C302" s="75">
        <f t="shared" si="64"/>
        <v>0</v>
      </c>
      <c r="D302" s="75">
        <f t="shared" si="65"/>
        <v>159.28389816204339</v>
      </c>
      <c r="E302" s="54">
        <f t="shared" si="69"/>
        <v>159.28389816204339</v>
      </c>
      <c r="F302" s="76">
        <f t="shared" si="82"/>
        <v>40975.113088886836</v>
      </c>
      <c r="G302" s="77">
        <f t="shared" si="81"/>
        <v>325.0289117714949</v>
      </c>
      <c r="H302" s="79">
        <f t="shared" si="70"/>
        <v>75406.707530986838</v>
      </c>
      <c r="I302" s="78">
        <f t="shared" si="66"/>
        <v>165.74501360945152</v>
      </c>
      <c r="J302" s="76">
        <f t="shared" si="71"/>
        <v>55318.472222222219</v>
      </c>
      <c r="K302" s="80">
        <f t="shared" si="67"/>
        <v>106.18926544136225</v>
      </c>
      <c r="L302" s="78">
        <f t="shared" si="72"/>
        <v>6.8111585332906976</v>
      </c>
      <c r="M302" s="59">
        <f t="shared" si="68"/>
        <v>27443.599179323617</v>
      </c>
      <c r="N302" s="80">
        <f t="shared" si="73"/>
        <v>82762.071401545836</v>
      </c>
      <c r="O302" s="54">
        <f t="shared" si="74"/>
        <v>39381.746123393626</v>
      </c>
      <c r="P302" s="54">
        <f t="shared" si="75"/>
        <v>3061.1192169999995</v>
      </c>
      <c r="Q302" s="54">
        <f t="shared" si="76"/>
        <v>507365.24628181849</v>
      </c>
      <c r="R302" s="54">
        <f t="shared" si="77"/>
        <v>241426.16276434151</v>
      </c>
      <c r="S302" s="54">
        <f t="shared" si="78"/>
        <v>424603.17488027265</v>
      </c>
      <c r="T302" s="81">
        <f t="shared" si="79"/>
        <v>202044.41664094789</v>
      </c>
      <c r="U302" s="82">
        <f t="shared" si="80"/>
        <v>2041</v>
      </c>
      <c r="V302" s="414">
        <v>19.3333333333333</v>
      </c>
      <c r="W302" s="185"/>
      <c r="X302" s="185"/>
    </row>
    <row r="303" spans="1:24" s="113" customFormat="1" x14ac:dyDescent="0.2">
      <c r="A303" s="73">
        <v>233</v>
      </c>
      <c r="B303" s="74">
        <f t="shared" si="63"/>
        <v>0</v>
      </c>
      <c r="C303" s="75">
        <f t="shared" si="64"/>
        <v>0</v>
      </c>
      <c r="D303" s="75">
        <f t="shared" si="65"/>
        <v>159.28389816204339</v>
      </c>
      <c r="E303" s="54">
        <f t="shared" si="69"/>
        <v>159.28389816204339</v>
      </c>
      <c r="F303" s="76">
        <f t="shared" si="82"/>
        <v>41134.39698704888</v>
      </c>
      <c r="G303" s="77">
        <f t="shared" si="81"/>
        <v>325.0289117714949</v>
      </c>
      <c r="H303" s="79">
        <f t="shared" si="70"/>
        <v>75731.736442758338</v>
      </c>
      <c r="I303" s="78">
        <f t="shared" si="66"/>
        <v>165.74501360945152</v>
      </c>
      <c r="J303" s="76">
        <f t="shared" si="71"/>
        <v>55318.472222222219</v>
      </c>
      <c r="K303" s="80">
        <f t="shared" si="67"/>
        <v>106.18926544136225</v>
      </c>
      <c r="L303" s="78">
        <f t="shared" si="72"/>
        <v>6.8111585332906976</v>
      </c>
      <c r="M303" s="59">
        <f t="shared" si="68"/>
        <v>27443.599179323617</v>
      </c>
      <c r="N303" s="80">
        <f t="shared" si="73"/>
        <v>82762.071401545836</v>
      </c>
      <c r="O303" s="54">
        <f t="shared" si="74"/>
        <v>39267.216741231721</v>
      </c>
      <c r="P303" s="54">
        <f t="shared" si="75"/>
        <v>3068.1661573333326</v>
      </c>
      <c r="Q303" s="54">
        <f t="shared" si="76"/>
        <v>508533.2415032718</v>
      </c>
      <c r="R303" s="54">
        <f t="shared" si="77"/>
        <v>241278.21689413555</v>
      </c>
      <c r="S303" s="54">
        <f t="shared" si="78"/>
        <v>425771.17010172596</v>
      </c>
      <c r="T303" s="81">
        <f t="shared" si="79"/>
        <v>202011.00015290381</v>
      </c>
      <c r="U303" s="82">
        <f t="shared" si="80"/>
        <v>2041</v>
      </c>
      <c r="V303" s="414">
        <v>19.4166666666666</v>
      </c>
      <c r="W303" s="185"/>
      <c r="X303" s="185"/>
    </row>
    <row r="304" spans="1:24" s="113" customFormat="1" x14ac:dyDescent="0.2">
      <c r="A304" s="73">
        <v>234</v>
      </c>
      <c r="B304" s="74">
        <f t="shared" si="63"/>
        <v>0</v>
      </c>
      <c r="C304" s="75">
        <f t="shared" si="64"/>
        <v>0</v>
      </c>
      <c r="D304" s="75">
        <f t="shared" si="65"/>
        <v>159.28389816204339</v>
      </c>
      <c r="E304" s="54">
        <f t="shared" si="69"/>
        <v>159.28389816204339</v>
      </c>
      <c r="F304" s="76">
        <f t="shared" si="82"/>
        <v>41293.680885210924</v>
      </c>
      <c r="G304" s="77">
        <f t="shared" si="81"/>
        <v>325.0289117714949</v>
      </c>
      <c r="H304" s="79">
        <f t="shared" si="70"/>
        <v>76056.765354529838</v>
      </c>
      <c r="I304" s="78">
        <f t="shared" si="66"/>
        <v>165.74501360945152</v>
      </c>
      <c r="J304" s="76">
        <f t="shared" si="71"/>
        <v>55318.472222222219</v>
      </c>
      <c r="K304" s="80">
        <f t="shared" si="67"/>
        <v>106.18926544136225</v>
      </c>
      <c r="L304" s="78">
        <f t="shared" si="72"/>
        <v>6.8111585332906976</v>
      </c>
      <c r="M304" s="59">
        <f t="shared" si="68"/>
        <v>27443.599179323617</v>
      </c>
      <c r="N304" s="80">
        <f t="shared" si="73"/>
        <v>82762.071401545836</v>
      </c>
      <c r="O304" s="54">
        <f t="shared" si="74"/>
        <v>39153.020431639437</v>
      </c>
      <c r="P304" s="54">
        <f t="shared" si="75"/>
        <v>3075.2130976666663</v>
      </c>
      <c r="Q304" s="54">
        <f t="shared" si="76"/>
        <v>509701.23672472517</v>
      </c>
      <c r="R304" s="54">
        <f t="shared" si="77"/>
        <v>241129.08966101965</v>
      </c>
      <c r="S304" s="54">
        <f t="shared" si="78"/>
        <v>426939.16532317933</v>
      </c>
      <c r="T304" s="81">
        <f t="shared" si="79"/>
        <v>201976.0692293802</v>
      </c>
      <c r="U304" s="82">
        <f t="shared" si="80"/>
        <v>2041</v>
      </c>
      <c r="V304" s="414">
        <v>19.5</v>
      </c>
      <c r="W304" s="185"/>
      <c r="X304" s="185"/>
    </row>
    <row r="305" spans="1:24" s="113" customFormat="1" x14ac:dyDescent="0.2">
      <c r="A305" s="73">
        <v>235</v>
      </c>
      <c r="B305" s="74">
        <f t="shared" si="63"/>
        <v>0</v>
      </c>
      <c r="C305" s="75">
        <f t="shared" si="64"/>
        <v>0</v>
      </c>
      <c r="D305" s="75">
        <f t="shared" si="65"/>
        <v>159.28389816204339</v>
      </c>
      <c r="E305" s="54">
        <f t="shared" si="69"/>
        <v>159.28389816204339</v>
      </c>
      <c r="F305" s="76">
        <f t="shared" si="82"/>
        <v>41452.964783372969</v>
      </c>
      <c r="G305" s="77">
        <f t="shared" si="81"/>
        <v>325.0289117714949</v>
      </c>
      <c r="H305" s="79">
        <f t="shared" si="70"/>
        <v>76381.794266301338</v>
      </c>
      <c r="I305" s="78">
        <f t="shared" si="66"/>
        <v>165.74501360945152</v>
      </c>
      <c r="J305" s="76">
        <f t="shared" si="71"/>
        <v>55318.472222222219</v>
      </c>
      <c r="K305" s="80">
        <f t="shared" si="67"/>
        <v>106.18926544136225</v>
      </c>
      <c r="L305" s="78">
        <f t="shared" si="72"/>
        <v>6.8111585332906976</v>
      </c>
      <c r="M305" s="59">
        <f t="shared" si="68"/>
        <v>27443.599179323617</v>
      </c>
      <c r="N305" s="80">
        <f t="shared" si="73"/>
        <v>82762.071401545836</v>
      </c>
      <c r="O305" s="54">
        <f t="shared" si="74"/>
        <v>39039.156225980325</v>
      </c>
      <c r="P305" s="54">
        <f t="shared" si="75"/>
        <v>3082.2600379999999</v>
      </c>
      <c r="Q305" s="54">
        <f t="shared" si="76"/>
        <v>510869.23194617854</v>
      </c>
      <c r="R305" s="54">
        <f t="shared" si="77"/>
        <v>240978.78918749405</v>
      </c>
      <c r="S305" s="54">
        <f t="shared" si="78"/>
        <v>428107.1605446327</v>
      </c>
      <c r="T305" s="81">
        <f t="shared" si="79"/>
        <v>201939.63296151371</v>
      </c>
      <c r="U305" s="82">
        <f t="shared" si="80"/>
        <v>2041</v>
      </c>
      <c r="V305" s="414">
        <v>19.5833333333333</v>
      </c>
      <c r="W305" s="185"/>
      <c r="X305" s="185"/>
    </row>
    <row r="306" spans="1:24" s="113" customFormat="1" x14ac:dyDescent="0.2">
      <c r="A306" s="73">
        <v>236</v>
      </c>
      <c r="B306" s="74">
        <f t="shared" si="63"/>
        <v>0</v>
      </c>
      <c r="C306" s="75">
        <f t="shared" si="64"/>
        <v>0</v>
      </c>
      <c r="D306" s="75">
        <f t="shared" si="65"/>
        <v>159.28389816204339</v>
      </c>
      <c r="E306" s="54">
        <f t="shared" si="69"/>
        <v>159.28389816204339</v>
      </c>
      <c r="F306" s="76">
        <f t="shared" si="82"/>
        <v>41612.248681535013</v>
      </c>
      <c r="G306" s="77">
        <f t="shared" si="81"/>
        <v>325.0289117714949</v>
      </c>
      <c r="H306" s="79">
        <f t="shared" si="70"/>
        <v>76706.823178072838</v>
      </c>
      <c r="I306" s="78">
        <f t="shared" si="66"/>
        <v>165.74501360945152</v>
      </c>
      <c r="J306" s="76">
        <f t="shared" si="71"/>
        <v>55318.472222222219</v>
      </c>
      <c r="K306" s="80">
        <f t="shared" si="67"/>
        <v>106.18926544136225</v>
      </c>
      <c r="L306" s="78">
        <f t="shared" si="72"/>
        <v>6.8111585332906976</v>
      </c>
      <c r="M306" s="59">
        <f t="shared" si="68"/>
        <v>27443.599179323617</v>
      </c>
      <c r="N306" s="80">
        <f t="shared" si="73"/>
        <v>82762.071401545836</v>
      </c>
      <c r="O306" s="54">
        <f t="shared" si="74"/>
        <v>38925.623158434893</v>
      </c>
      <c r="P306" s="54">
        <f t="shared" si="75"/>
        <v>3089.3069783333326</v>
      </c>
      <c r="Q306" s="54">
        <f t="shared" si="76"/>
        <v>512037.22716763173</v>
      </c>
      <c r="R306" s="54">
        <f t="shared" si="77"/>
        <v>240827.32355880685</v>
      </c>
      <c r="S306" s="54">
        <f t="shared" si="78"/>
        <v>429275.1557660859</v>
      </c>
      <c r="T306" s="81">
        <f t="shared" si="79"/>
        <v>201901.70040037195</v>
      </c>
      <c r="U306" s="82">
        <f t="shared" si="80"/>
        <v>2041</v>
      </c>
      <c r="V306" s="414">
        <v>19.6666666666666</v>
      </c>
      <c r="W306" s="185"/>
      <c r="X306" s="185"/>
    </row>
    <row r="307" spans="1:24" s="113" customFormat="1" x14ac:dyDescent="0.2">
      <c r="A307" s="73">
        <v>237</v>
      </c>
      <c r="B307" s="74">
        <f t="shared" si="63"/>
        <v>0</v>
      </c>
      <c r="C307" s="75">
        <f t="shared" si="64"/>
        <v>0</v>
      </c>
      <c r="D307" s="75">
        <f t="shared" si="65"/>
        <v>159.28389816204339</v>
      </c>
      <c r="E307" s="54">
        <f t="shared" si="69"/>
        <v>159.28389816204339</v>
      </c>
      <c r="F307" s="76">
        <f t="shared" si="82"/>
        <v>41771.532579697057</v>
      </c>
      <c r="G307" s="77">
        <f t="shared" si="81"/>
        <v>325.0289117714949</v>
      </c>
      <c r="H307" s="79">
        <f t="shared" si="70"/>
        <v>77031.852089844338</v>
      </c>
      <c r="I307" s="78">
        <f t="shared" si="66"/>
        <v>165.74501360945152</v>
      </c>
      <c r="J307" s="76">
        <f t="shared" si="71"/>
        <v>55318.472222222219</v>
      </c>
      <c r="K307" s="80">
        <f t="shared" si="67"/>
        <v>106.18926544136225</v>
      </c>
      <c r="L307" s="78">
        <f t="shared" si="72"/>
        <v>6.8111585332906976</v>
      </c>
      <c r="M307" s="59">
        <f t="shared" si="68"/>
        <v>27443.599179323617</v>
      </c>
      <c r="N307" s="80">
        <f t="shared" si="73"/>
        <v>82762.071401545836</v>
      </c>
      <c r="O307" s="54">
        <f t="shared" si="74"/>
        <v>38812.420265992419</v>
      </c>
      <c r="P307" s="54">
        <f t="shared" si="75"/>
        <v>3096.3539186666658</v>
      </c>
      <c r="Q307" s="54">
        <f t="shared" si="76"/>
        <v>513205.22238908504</v>
      </c>
      <c r="R307" s="54">
        <f t="shared" si="77"/>
        <v>240674.70082310226</v>
      </c>
      <c r="S307" s="54">
        <f t="shared" si="78"/>
        <v>430443.15098753921</v>
      </c>
      <c r="T307" s="81">
        <f t="shared" si="79"/>
        <v>201862.28055710983</v>
      </c>
      <c r="U307" s="82">
        <f t="shared" si="80"/>
        <v>2041</v>
      </c>
      <c r="V307" s="414">
        <v>19.75</v>
      </c>
      <c r="W307" s="185"/>
      <c r="X307" s="185"/>
    </row>
    <row r="308" spans="1:24" s="113" customFormat="1" x14ac:dyDescent="0.2">
      <c r="A308" s="73">
        <v>238</v>
      </c>
      <c r="B308" s="74">
        <f t="shared" si="63"/>
        <v>0</v>
      </c>
      <c r="C308" s="75">
        <f t="shared" si="64"/>
        <v>0</v>
      </c>
      <c r="D308" s="75">
        <f t="shared" si="65"/>
        <v>159.28389816204339</v>
      </c>
      <c r="E308" s="54">
        <f t="shared" si="69"/>
        <v>159.28389816204339</v>
      </c>
      <c r="F308" s="76">
        <f t="shared" si="82"/>
        <v>41930.816477859102</v>
      </c>
      <c r="G308" s="77">
        <f t="shared" si="81"/>
        <v>325.0289117714949</v>
      </c>
      <c r="H308" s="79">
        <f t="shared" si="70"/>
        <v>77356.881001615839</v>
      </c>
      <c r="I308" s="78">
        <f t="shared" si="66"/>
        <v>165.74501360945152</v>
      </c>
      <c r="J308" s="76">
        <f t="shared" si="71"/>
        <v>55318.472222222219</v>
      </c>
      <c r="K308" s="80">
        <f t="shared" si="67"/>
        <v>106.18926544136225</v>
      </c>
      <c r="L308" s="78">
        <f t="shared" si="72"/>
        <v>6.8111585332906976</v>
      </c>
      <c r="M308" s="59">
        <f t="shared" si="68"/>
        <v>27443.599179323617</v>
      </c>
      <c r="N308" s="80">
        <f t="shared" si="73"/>
        <v>82762.071401545836</v>
      </c>
      <c r="O308" s="54">
        <f t="shared" si="74"/>
        <v>38699.54658844279</v>
      </c>
      <c r="P308" s="54">
        <f t="shared" si="75"/>
        <v>3103.4008589999994</v>
      </c>
      <c r="Q308" s="54">
        <f t="shared" si="76"/>
        <v>514373.21761053841</v>
      </c>
      <c r="R308" s="54">
        <f t="shared" si="77"/>
        <v>240520.92899156761</v>
      </c>
      <c r="S308" s="54">
        <f t="shared" si="78"/>
        <v>431611.14620899258</v>
      </c>
      <c r="T308" s="81">
        <f t="shared" si="79"/>
        <v>201821.38240312479</v>
      </c>
      <c r="U308" s="82">
        <f t="shared" si="80"/>
        <v>2041</v>
      </c>
      <c r="V308" s="414">
        <v>19.8333333333333</v>
      </c>
      <c r="W308" s="185"/>
      <c r="X308" s="185"/>
    </row>
    <row r="309" spans="1:24" s="113" customFormat="1" x14ac:dyDescent="0.2">
      <c r="A309" s="73">
        <v>239</v>
      </c>
      <c r="B309" s="74">
        <f t="shared" si="63"/>
        <v>0</v>
      </c>
      <c r="C309" s="75">
        <f t="shared" si="64"/>
        <v>0</v>
      </c>
      <c r="D309" s="75">
        <f t="shared" si="65"/>
        <v>159.28389816204339</v>
      </c>
      <c r="E309" s="54">
        <f t="shared" si="69"/>
        <v>159.28389816204339</v>
      </c>
      <c r="F309" s="76">
        <f t="shared" si="82"/>
        <v>42090.100376021146</v>
      </c>
      <c r="G309" s="77">
        <f t="shared" si="81"/>
        <v>325.0289117714949</v>
      </c>
      <c r="H309" s="79">
        <f t="shared" si="70"/>
        <v>77681.909913387339</v>
      </c>
      <c r="I309" s="78">
        <f t="shared" si="66"/>
        <v>165.74501360945152</v>
      </c>
      <c r="J309" s="76">
        <f t="shared" si="71"/>
        <v>55318.472222222219</v>
      </c>
      <c r="K309" s="80">
        <f t="shared" si="67"/>
        <v>106.18926544136225</v>
      </c>
      <c r="L309" s="78">
        <f t="shared" si="72"/>
        <v>6.8111585332906976</v>
      </c>
      <c r="M309" s="59">
        <f t="shared" si="68"/>
        <v>27443.599179323617</v>
      </c>
      <c r="N309" s="80">
        <f t="shared" si="73"/>
        <v>82762.071401545836</v>
      </c>
      <c r="O309" s="54">
        <f t="shared" si="74"/>
        <v>38587.001168368384</v>
      </c>
      <c r="P309" s="54">
        <f t="shared" si="75"/>
        <v>3110.447799333333</v>
      </c>
      <c r="Q309" s="54">
        <f t="shared" si="76"/>
        <v>515541.21283199178</v>
      </c>
      <c r="R309" s="54">
        <f t="shared" si="77"/>
        <v>240366.01603858065</v>
      </c>
      <c r="S309" s="54">
        <f t="shared" si="78"/>
        <v>432779.14143044595</v>
      </c>
      <c r="T309" s="81">
        <f t="shared" si="79"/>
        <v>201779.01487021224</v>
      </c>
      <c r="U309" s="82">
        <f t="shared" si="80"/>
        <v>2041</v>
      </c>
      <c r="V309" s="414">
        <v>19.9166666666666</v>
      </c>
      <c r="W309" s="185"/>
      <c r="X309" s="185"/>
    </row>
    <row r="310" spans="1:24" s="113" customFormat="1" x14ac:dyDescent="0.2">
      <c r="A310" s="73">
        <v>240</v>
      </c>
      <c r="B310" s="74">
        <f t="shared" si="63"/>
        <v>0</v>
      </c>
      <c r="C310" s="75">
        <f t="shared" si="64"/>
        <v>0</v>
      </c>
      <c r="D310" s="75">
        <f t="shared" si="65"/>
        <v>159.28389816204339</v>
      </c>
      <c r="E310" s="54">
        <f t="shared" si="69"/>
        <v>159.28389816204339</v>
      </c>
      <c r="F310" s="76">
        <f t="shared" si="82"/>
        <v>42249.38427418319</v>
      </c>
      <c r="G310" s="77">
        <f t="shared" si="81"/>
        <v>325.0289117714949</v>
      </c>
      <c r="H310" s="79">
        <f t="shared" si="70"/>
        <v>78006.938825158839</v>
      </c>
      <c r="I310" s="78">
        <f t="shared" si="66"/>
        <v>165.74501360945152</v>
      </c>
      <c r="J310" s="76">
        <f t="shared" si="71"/>
        <v>55318.472222222219</v>
      </c>
      <c r="K310" s="80">
        <f t="shared" si="67"/>
        <v>106.18926544136225</v>
      </c>
      <c r="L310" s="78">
        <f t="shared" si="72"/>
        <v>6.8111585332906976</v>
      </c>
      <c r="M310" s="59">
        <f t="shared" si="68"/>
        <v>27443.599179323617</v>
      </c>
      <c r="N310" s="80">
        <f t="shared" si="73"/>
        <v>82762.071401545836</v>
      </c>
      <c r="O310" s="54">
        <f t="shared" si="74"/>
        <v>38474.783051135899</v>
      </c>
      <c r="P310" s="54">
        <f t="shared" si="75"/>
        <v>3117.4947396666662</v>
      </c>
      <c r="Q310" s="54">
        <f t="shared" si="76"/>
        <v>516709.20805344509</v>
      </c>
      <c r="R310" s="54">
        <f t="shared" si="77"/>
        <v>240209.96990185551</v>
      </c>
      <c r="S310" s="54">
        <f t="shared" si="78"/>
        <v>433947.13665189926</v>
      </c>
      <c r="T310" s="81">
        <f t="shared" si="79"/>
        <v>201735.18685071962</v>
      </c>
      <c r="U310" s="82">
        <f t="shared" si="80"/>
        <v>2041</v>
      </c>
      <c r="V310" s="414">
        <v>20</v>
      </c>
      <c r="W310" s="185"/>
      <c r="X310" s="185"/>
    </row>
    <row r="311" spans="1:24" s="113" customFormat="1" x14ac:dyDescent="0.2">
      <c r="A311" s="73">
        <v>241</v>
      </c>
      <c r="B311" s="74">
        <f t="shared" si="63"/>
        <v>0</v>
      </c>
      <c r="C311" s="75">
        <f t="shared" si="64"/>
        <v>0</v>
      </c>
      <c r="D311" s="75">
        <f t="shared" si="65"/>
        <v>159.28389816204339</v>
      </c>
      <c r="E311" s="54">
        <f t="shared" si="69"/>
        <v>159.28389816204339</v>
      </c>
      <c r="F311" s="76">
        <f t="shared" si="82"/>
        <v>42408.668172345235</v>
      </c>
      <c r="G311" s="77">
        <f t="shared" si="81"/>
        <v>325.0289117714949</v>
      </c>
      <c r="H311" s="79">
        <f t="shared" si="70"/>
        <v>78331.967736930339</v>
      </c>
      <c r="I311" s="78">
        <f t="shared" si="66"/>
        <v>165.74501360945152</v>
      </c>
      <c r="J311" s="76">
        <f t="shared" si="71"/>
        <v>55318.472222222219</v>
      </c>
      <c r="K311" s="80">
        <f t="shared" si="67"/>
        <v>106.18926544136225</v>
      </c>
      <c r="L311" s="78">
        <f t="shared" si="72"/>
        <v>6.8111585332906976</v>
      </c>
      <c r="M311" s="59">
        <f t="shared" si="68"/>
        <v>27443.599179323617</v>
      </c>
      <c r="N311" s="80">
        <f t="shared" si="73"/>
        <v>82762.071401545836</v>
      </c>
      <c r="O311" s="54">
        <f t="shared" si="74"/>
        <v>38362.891284888312</v>
      </c>
      <c r="P311" s="54">
        <f t="shared" si="75"/>
        <v>3124.5416799999994</v>
      </c>
      <c r="Q311" s="54">
        <f t="shared" si="76"/>
        <v>517877.20327489841</v>
      </c>
      <c r="R311" s="54">
        <f t="shared" si="77"/>
        <v>240052.7984825891</v>
      </c>
      <c r="S311" s="54">
        <f t="shared" si="78"/>
        <v>435115.13187335257</v>
      </c>
      <c r="T311" s="81">
        <f t="shared" si="79"/>
        <v>201689.90719770078</v>
      </c>
      <c r="U311" s="376">
        <f t="shared" si="80"/>
        <v>2042</v>
      </c>
      <c r="V311" s="414">
        <v>20.0833333333333</v>
      </c>
      <c r="W311" s="185"/>
      <c r="X311" s="185"/>
    </row>
    <row r="312" spans="1:24" s="113" customFormat="1" x14ac:dyDescent="0.2">
      <c r="A312" s="73">
        <v>242</v>
      </c>
      <c r="B312" s="74">
        <f t="shared" si="63"/>
        <v>0</v>
      </c>
      <c r="C312" s="75">
        <f t="shared" si="64"/>
        <v>0</v>
      </c>
      <c r="D312" s="75">
        <f t="shared" si="65"/>
        <v>159.28389816204339</v>
      </c>
      <c r="E312" s="54">
        <f t="shared" si="69"/>
        <v>159.28389816204339</v>
      </c>
      <c r="F312" s="76">
        <f t="shared" si="82"/>
        <v>42567.952070507279</v>
      </c>
      <c r="G312" s="77">
        <f t="shared" si="81"/>
        <v>325.0289117714949</v>
      </c>
      <c r="H312" s="79">
        <f t="shared" si="70"/>
        <v>78656.996648701839</v>
      </c>
      <c r="I312" s="78">
        <f t="shared" si="66"/>
        <v>165.74501360945152</v>
      </c>
      <c r="J312" s="76">
        <f t="shared" si="71"/>
        <v>55318.472222222219</v>
      </c>
      <c r="K312" s="80">
        <f t="shared" si="67"/>
        <v>106.18926544136225</v>
      </c>
      <c r="L312" s="78">
        <f t="shared" si="72"/>
        <v>6.8111585332906976</v>
      </c>
      <c r="M312" s="59">
        <f t="shared" si="68"/>
        <v>27443.599179323617</v>
      </c>
      <c r="N312" s="80">
        <f t="shared" si="73"/>
        <v>82762.071401545836</v>
      </c>
      <c r="O312" s="54">
        <f t="shared" si="74"/>
        <v>38251.324920536747</v>
      </c>
      <c r="P312" s="54">
        <f t="shared" si="75"/>
        <v>3131.588620333333</v>
      </c>
      <c r="Q312" s="54">
        <f t="shared" si="76"/>
        <v>519045.19849635178</v>
      </c>
      <c r="R312" s="54">
        <f t="shared" si="77"/>
        <v>239894.50964560566</v>
      </c>
      <c r="S312" s="54">
        <f t="shared" si="78"/>
        <v>436283.12709480594</v>
      </c>
      <c r="T312" s="81">
        <f t="shared" si="79"/>
        <v>201643.18472506892</v>
      </c>
      <c r="U312" s="82">
        <f t="shared" si="80"/>
        <v>2042</v>
      </c>
      <c r="V312" s="414">
        <v>20.1666666666666</v>
      </c>
      <c r="W312" s="185"/>
      <c r="X312" s="185"/>
    </row>
    <row r="313" spans="1:24" s="113" customFormat="1" x14ac:dyDescent="0.2">
      <c r="A313" s="73">
        <v>243</v>
      </c>
      <c r="B313" s="74">
        <f t="shared" si="63"/>
        <v>0</v>
      </c>
      <c r="C313" s="75">
        <f t="shared" si="64"/>
        <v>0</v>
      </c>
      <c r="D313" s="75">
        <f t="shared" si="65"/>
        <v>159.28389816204339</v>
      </c>
      <c r="E313" s="54">
        <f t="shared" si="69"/>
        <v>159.28389816204339</v>
      </c>
      <c r="F313" s="76">
        <f t="shared" si="82"/>
        <v>42727.235968669323</v>
      </c>
      <c r="G313" s="77">
        <f t="shared" si="81"/>
        <v>325.0289117714949</v>
      </c>
      <c r="H313" s="79">
        <f t="shared" si="70"/>
        <v>78982.025560473339</v>
      </c>
      <c r="I313" s="78">
        <f t="shared" si="66"/>
        <v>165.74501360945152</v>
      </c>
      <c r="J313" s="76">
        <f t="shared" si="71"/>
        <v>55318.472222222219</v>
      </c>
      <c r="K313" s="80">
        <f t="shared" si="67"/>
        <v>106.18926544136225</v>
      </c>
      <c r="L313" s="78">
        <f t="shared" si="72"/>
        <v>6.8111585332906976</v>
      </c>
      <c r="M313" s="59">
        <f t="shared" si="68"/>
        <v>27443.599179323617</v>
      </c>
      <c r="N313" s="80">
        <f t="shared" si="73"/>
        <v>82762.071401545836</v>
      </c>
      <c r="O313" s="54">
        <f t="shared" si="74"/>
        <v>38140.083011752467</v>
      </c>
      <c r="P313" s="54">
        <f t="shared" si="75"/>
        <v>3138.6355606666662</v>
      </c>
      <c r="Q313" s="54">
        <f t="shared" si="76"/>
        <v>520213.19371780509</v>
      </c>
      <c r="R313" s="54">
        <f t="shared" si="77"/>
        <v>239735.11121950194</v>
      </c>
      <c r="S313" s="54">
        <f t="shared" si="78"/>
        <v>437451.12231625925</v>
      </c>
      <c r="T313" s="81">
        <f t="shared" si="79"/>
        <v>201595.02820774948</v>
      </c>
      <c r="U313" s="82">
        <f t="shared" si="80"/>
        <v>2042</v>
      </c>
      <c r="V313" s="414">
        <v>20.25</v>
      </c>
      <c r="W313" s="185"/>
      <c r="X313" s="185"/>
    </row>
    <row r="314" spans="1:24" s="113" customFormat="1" x14ac:dyDescent="0.2">
      <c r="A314" s="73">
        <v>244</v>
      </c>
      <c r="B314" s="74">
        <f t="shared" si="63"/>
        <v>0</v>
      </c>
      <c r="C314" s="75">
        <f t="shared" si="64"/>
        <v>0</v>
      </c>
      <c r="D314" s="75">
        <f t="shared" si="65"/>
        <v>159.28389816204339</v>
      </c>
      <c r="E314" s="54">
        <f t="shared" si="69"/>
        <v>159.28389816204339</v>
      </c>
      <c r="F314" s="76">
        <f t="shared" si="82"/>
        <v>42886.519866831368</v>
      </c>
      <c r="G314" s="77">
        <f t="shared" si="81"/>
        <v>325.0289117714949</v>
      </c>
      <c r="H314" s="79">
        <f t="shared" si="70"/>
        <v>79307.054472244839</v>
      </c>
      <c r="I314" s="78">
        <f t="shared" si="66"/>
        <v>165.74501360945152</v>
      </c>
      <c r="J314" s="76">
        <f t="shared" si="71"/>
        <v>55318.472222222219</v>
      </c>
      <c r="K314" s="80">
        <f t="shared" si="67"/>
        <v>106.18926544136225</v>
      </c>
      <c r="L314" s="78">
        <f t="shared" si="72"/>
        <v>6.8111585332906976</v>
      </c>
      <c r="M314" s="59">
        <f t="shared" si="68"/>
        <v>27443.599179323617</v>
      </c>
      <c r="N314" s="80">
        <f t="shared" si="73"/>
        <v>82762.071401545836</v>
      </c>
      <c r="O314" s="54">
        <f t="shared" si="74"/>
        <v>38029.164614958834</v>
      </c>
      <c r="P314" s="54">
        <f t="shared" si="75"/>
        <v>3145.6825009999998</v>
      </c>
      <c r="Q314" s="54">
        <f t="shared" si="76"/>
        <v>521381.18893925846</v>
      </c>
      <c r="R314" s="54">
        <f t="shared" si="77"/>
        <v>239574.61099679137</v>
      </c>
      <c r="S314" s="54">
        <f t="shared" si="78"/>
        <v>438619.11753771262</v>
      </c>
      <c r="T314" s="81">
        <f t="shared" si="79"/>
        <v>201545.44638183253</v>
      </c>
      <c r="U314" s="82">
        <f t="shared" si="80"/>
        <v>2042</v>
      </c>
      <c r="V314" s="414">
        <v>20.3333333333333</v>
      </c>
      <c r="W314" s="185"/>
      <c r="X314" s="185"/>
    </row>
    <row r="315" spans="1:24" s="113" customFormat="1" x14ac:dyDescent="0.2">
      <c r="A315" s="73">
        <v>245</v>
      </c>
      <c r="B315" s="74">
        <f t="shared" si="63"/>
        <v>0</v>
      </c>
      <c r="C315" s="75">
        <f t="shared" si="64"/>
        <v>0</v>
      </c>
      <c r="D315" s="75">
        <f t="shared" si="65"/>
        <v>159.28389816204339</v>
      </c>
      <c r="E315" s="54">
        <f t="shared" si="69"/>
        <v>159.28389816204339</v>
      </c>
      <c r="F315" s="76">
        <f t="shared" si="82"/>
        <v>43045.803764993412</v>
      </c>
      <c r="G315" s="77">
        <f t="shared" si="81"/>
        <v>325.0289117714949</v>
      </c>
      <c r="H315" s="79">
        <f t="shared" si="70"/>
        <v>79632.08338401634</v>
      </c>
      <c r="I315" s="78">
        <f t="shared" si="66"/>
        <v>165.74501360945152</v>
      </c>
      <c r="J315" s="76">
        <f t="shared" si="71"/>
        <v>55318.472222222219</v>
      </c>
      <c r="K315" s="80">
        <f t="shared" si="67"/>
        <v>106.18926544136225</v>
      </c>
      <c r="L315" s="78">
        <f t="shared" si="72"/>
        <v>6.8111585332906976</v>
      </c>
      <c r="M315" s="59">
        <f t="shared" si="68"/>
        <v>27443.599179323617</v>
      </c>
      <c r="N315" s="80">
        <f t="shared" si="73"/>
        <v>82762.071401545836</v>
      </c>
      <c r="O315" s="54">
        <f t="shared" si="74"/>
        <v>37918.568789323312</v>
      </c>
      <c r="P315" s="54">
        <f t="shared" si="75"/>
        <v>3152.7294413333325</v>
      </c>
      <c r="Q315" s="54">
        <f t="shared" si="76"/>
        <v>522549.18416071165</v>
      </c>
      <c r="R315" s="54">
        <f t="shared" si="77"/>
        <v>239413.01673404741</v>
      </c>
      <c r="S315" s="54">
        <f t="shared" si="78"/>
        <v>439787.11275916582</v>
      </c>
      <c r="T315" s="81">
        <f t="shared" si="79"/>
        <v>201494.44794472412</v>
      </c>
      <c r="U315" s="82">
        <f t="shared" si="80"/>
        <v>2042</v>
      </c>
      <c r="V315" s="414">
        <v>20.4166666666666</v>
      </c>
      <c r="W315" s="185"/>
      <c r="X315" s="185"/>
    </row>
    <row r="316" spans="1:24" s="113" customFormat="1" x14ac:dyDescent="0.2">
      <c r="A316" s="73">
        <v>246</v>
      </c>
      <c r="B316" s="74">
        <f t="shared" si="63"/>
        <v>0</v>
      </c>
      <c r="C316" s="75">
        <f t="shared" si="64"/>
        <v>0</v>
      </c>
      <c r="D316" s="75">
        <f t="shared" si="65"/>
        <v>159.28389816204339</v>
      </c>
      <c r="E316" s="54">
        <f t="shared" si="69"/>
        <v>159.28389816204339</v>
      </c>
      <c r="F316" s="76">
        <f t="shared" si="82"/>
        <v>43205.087663155457</v>
      </c>
      <c r="G316" s="77">
        <f t="shared" si="81"/>
        <v>325.0289117714949</v>
      </c>
      <c r="H316" s="79">
        <f t="shared" si="70"/>
        <v>79957.11229578784</v>
      </c>
      <c r="I316" s="78">
        <f t="shared" si="66"/>
        <v>165.74501360945152</v>
      </c>
      <c r="J316" s="76">
        <f t="shared" si="71"/>
        <v>55318.472222222219</v>
      </c>
      <c r="K316" s="80">
        <f t="shared" si="67"/>
        <v>106.18926544136225</v>
      </c>
      <c r="L316" s="78">
        <f t="shared" si="72"/>
        <v>6.8111585332906976</v>
      </c>
      <c r="M316" s="59">
        <f t="shared" si="68"/>
        <v>27443.599179323617</v>
      </c>
      <c r="N316" s="80">
        <f t="shared" si="73"/>
        <v>82762.071401545836</v>
      </c>
      <c r="O316" s="54">
        <f t="shared" si="74"/>
        <v>37808.29459674946</v>
      </c>
      <c r="P316" s="54">
        <f t="shared" si="75"/>
        <v>3159.7763816666661</v>
      </c>
      <c r="Q316" s="54">
        <f t="shared" si="76"/>
        <v>523717.17938216508</v>
      </c>
      <c r="R316" s="54">
        <f t="shared" si="77"/>
        <v>239250.3361520473</v>
      </c>
      <c r="S316" s="54">
        <f t="shared" si="78"/>
        <v>440955.10798061924</v>
      </c>
      <c r="T316" s="81">
        <f t="shared" si="79"/>
        <v>201442.04155529782</v>
      </c>
      <c r="U316" s="82">
        <f t="shared" si="80"/>
        <v>2042</v>
      </c>
      <c r="V316" s="414">
        <v>20.5</v>
      </c>
      <c r="W316" s="185"/>
      <c r="X316" s="185"/>
    </row>
    <row r="317" spans="1:24" s="113" customFormat="1" x14ac:dyDescent="0.2">
      <c r="A317" s="73">
        <v>247</v>
      </c>
      <c r="B317" s="74">
        <f t="shared" si="63"/>
        <v>0</v>
      </c>
      <c r="C317" s="75">
        <f t="shared" si="64"/>
        <v>0</v>
      </c>
      <c r="D317" s="75">
        <f t="shared" si="65"/>
        <v>159.28389816204339</v>
      </c>
      <c r="E317" s="54">
        <f t="shared" si="69"/>
        <v>159.28389816204339</v>
      </c>
      <c r="F317" s="76">
        <f t="shared" si="82"/>
        <v>43364.371561317501</v>
      </c>
      <c r="G317" s="77">
        <f t="shared" si="81"/>
        <v>325.0289117714949</v>
      </c>
      <c r="H317" s="79">
        <f t="shared" si="70"/>
        <v>80282.14120755934</v>
      </c>
      <c r="I317" s="78">
        <f t="shared" si="66"/>
        <v>165.74501360945152</v>
      </c>
      <c r="J317" s="76">
        <f t="shared" si="71"/>
        <v>55318.472222222219</v>
      </c>
      <c r="K317" s="80">
        <f t="shared" si="67"/>
        <v>106.18926544136225</v>
      </c>
      <c r="L317" s="78">
        <f t="shared" si="72"/>
        <v>6.8111585332906976</v>
      </c>
      <c r="M317" s="59">
        <f t="shared" si="68"/>
        <v>27443.599179323617</v>
      </c>
      <c r="N317" s="80">
        <f t="shared" si="73"/>
        <v>82762.071401545836</v>
      </c>
      <c r="O317" s="54">
        <f t="shared" si="74"/>
        <v>37698.341101869009</v>
      </c>
      <c r="P317" s="54">
        <f t="shared" si="75"/>
        <v>3166.8233219999993</v>
      </c>
      <c r="Q317" s="54">
        <f t="shared" si="76"/>
        <v>524885.17460361833</v>
      </c>
      <c r="R317" s="54">
        <f t="shared" si="77"/>
        <v>239086.57693591376</v>
      </c>
      <c r="S317" s="54">
        <f t="shared" si="78"/>
        <v>442123.1032020725</v>
      </c>
      <c r="T317" s="81">
        <f t="shared" si="79"/>
        <v>201388.23583404475</v>
      </c>
      <c r="U317" s="82">
        <f t="shared" si="80"/>
        <v>2042</v>
      </c>
      <c r="V317" s="414">
        <v>20.5833333333333</v>
      </c>
      <c r="W317" s="185"/>
      <c r="X317" s="185"/>
    </row>
    <row r="318" spans="1:24" s="113" customFormat="1" x14ac:dyDescent="0.2">
      <c r="A318" s="73">
        <v>248</v>
      </c>
      <c r="B318" s="74">
        <f t="shared" si="63"/>
        <v>0</v>
      </c>
      <c r="C318" s="75">
        <f t="shared" si="64"/>
        <v>0</v>
      </c>
      <c r="D318" s="75">
        <f t="shared" si="65"/>
        <v>159.28389816204339</v>
      </c>
      <c r="E318" s="54">
        <f t="shared" si="69"/>
        <v>159.28389816204339</v>
      </c>
      <c r="F318" s="76">
        <f t="shared" si="82"/>
        <v>43523.655459479545</v>
      </c>
      <c r="G318" s="77">
        <f t="shared" si="81"/>
        <v>325.0289117714949</v>
      </c>
      <c r="H318" s="79">
        <f t="shared" si="70"/>
        <v>80607.17011933084</v>
      </c>
      <c r="I318" s="78">
        <f t="shared" si="66"/>
        <v>165.74501360945152</v>
      </c>
      <c r="J318" s="76">
        <f t="shared" si="71"/>
        <v>55318.472222222219</v>
      </c>
      <c r="K318" s="80">
        <f t="shared" si="67"/>
        <v>106.18926544136225</v>
      </c>
      <c r="L318" s="78">
        <f t="shared" si="72"/>
        <v>6.8111585332906976</v>
      </c>
      <c r="M318" s="59">
        <f t="shared" si="68"/>
        <v>27443.599179323617</v>
      </c>
      <c r="N318" s="80">
        <f t="shared" si="73"/>
        <v>82762.071401545836</v>
      </c>
      <c r="O318" s="54">
        <f t="shared" si="74"/>
        <v>37588.707372033903</v>
      </c>
      <c r="P318" s="54">
        <f t="shared" si="75"/>
        <v>3173.8702623333329</v>
      </c>
      <c r="Q318" s="54">
        <f t="shared" si="76"/>
        <v>526053.1698250717</v>
      </c>
      <c r="R318" s="54">
        <f t="shared" si="77"/>
        <v>238921.74673525803</v>
      </c>
      <c r="S318" s="54">
        <f t="shared" si="78"/>
        <v>443291.09842352587</v>
      </c>
      <c r="T318" s="81">
        <f t="shared" si="79"/>
        <v>201333.03936322412</v>
      </c>
      <c r="U318" s="82">
        <f t="shared" si="80"/>
        <v>2042</v>
      </c>
      <c r="V318" s="414">
        <v>20.6666666666666</v>
      </c>
      <c r="W318" s="185"/>
      <c r="X318" s="185"/>
    </row>
    <row r="319" spans="1:24" s="113" customFormat="1" x14ac:dyDescent="0.2">
      <c r="A319" s="73">
        <v>249</v>
      </c>
      <c r="B319" s="74">
        <f t="shared" si="63"/>
        <v>0</v>
      </c>
      <c r="C319" s="75">
        <f t="shared" si="64"/>
        <v>0</v>
      </c>
      <c r="D319" s="75">
        <f t="shared" si="65"/>
        <v>159.28389816204339</v>
      </c>
      <c r="E319" s="54">
        <f t="shared" si="69"/>
        <v>159.28389816204339</v>
      </c>
      <c r="F319" s="76">
        <f t="shared" si="82"/>
        <v>43682.93935764159</v>
      </c>
      <c r="G319" s="77">
        <f t="shared" si="81"/>
        <v>325.0289117714949</v>
      </c>
      <c r="H319" s="79">
        <f t="shared" si="70"/>
        <v>80932.19903110234</v>
      </c>
      <c r="I319" s="78">
        <f t="shared" si="66"/>
        <v>165.74501360945152</v>
      </c>
      <c r="J319" s="76">
        <f t="shared" si="71"/>
        <v>55318.472222222219</v>
      </c>
      <c r="K319" s="80">
        <f t="shared" si="67"/>
        <v>106.18926544136225</v>
      </c>
      <c r="L319" s="78">
        <f t="shared" si="72"/>
        <v>6.8111585332906976</v>
      </c>
      <c r="M319" s="59">
        <f t="shared" si="68"/>
        <v>27443.599179323617</v>
      </c>
      <c r="N319" s="80">
        <f t="shared" si="73"/>
        <v>82762.071401545836</v>
      </c>
      <c r="O319" s="54">
        <f t="shared" si="74"/>
        <v>37479.392477308429</v>
      </c>
      <c r="P319" s="54">
        <f t="shared" si="75"/>
        <v>3180.9172026666661</v>
      </c>
      <c r="Q319" s="54">
        <f t="shared" si="76"/>
        <v>527221.16504652507</v>
      </c>
      <c r="R319" s="54">
        <f t="shared" si="77"/>
        <v>238755.85316432087</v>
      </c>
      <c r="S319" s="54">
        <f t="shared" si="78"/>
        <v>444459.09364497924</v>
      </c>
      <c r="T319" s="81">
        <f t="shared" si="79"/>
        <v>201276.46068701244</v>
      </c>
      <c r="U319" s="82">
        <f t="shared" si="80"/>
        <v>2042</v>
      </c>
      <c r="V319" s="414">
        <v>20.75</v>
      </c>
      <c r="W319" s="185"/>
      <c r="X319" s="185"/>
    </row>
    <row r="320" spans="1:24" s="113" customFormat="1" x14ac:dyDescent="0.2">
      <c r="A320" s="73">
        <v>250</v>
      </c>
      <c r="B320" s="74">
        <f t="shared" si="63"/>
        <v>0</v>
      </c>
      <c r="C320" s="75">
        <f t="shared" si="64"/>
        <v>0</v>
      </c>
      <c r="D320" s="75">
        <f t="shared" si="65"/>
        <v>159.28389816204339</v>
      </c>
      <c r="E320" s="54">
        <f t="shared" si="69"/>
        <v>159.28389816204339</v>
      </c>
      <c r="F320" s="76">
        <f t="shared" si="82"/>
        <v>43842.223255803634</v>
      </c>
      <c r="G320" s="77">
        <f t="shared" si="81"/>
        <v>325.0289117714949</v>
      </c>
      <c r="H320" s="79">
        <f t="shared" si="70"/>
        <v>81257.22794287384</v>
      </c>
      <c r="I320" s="78">
        <f t="shared" si="66"/>
        <v>165.74501360945152</v>
      </c>
      <c r="J320" s="76">
        <f t="shared" si="71"/>
        <v>55318.472222222219</v>
      </c>
      <c r="K320" s="80">
        <f t="shared" si="67"/>
        <v>106.18926544136225</v>
      </c>
      <c r="L320" s="78">
        <f t="shared" si="72"/>
        <v>6.8111585332906976</v>
      </c>
      <c r="M320" s="59">
        <f t="shared" si="68"/>
        <v>27443.599179323617</v>
      </c>
      <c r="N320" s="80">
        <f t="shared" si="73"/>
        <v>82762.071401545836</v>
      </c>
      <c r="O320" s="54">
        <f t="shared" si="74"/>
        <v>37370.395490461255</v>
      </c>
      <c r="P320" s="54">
        <f t="shared" si="75"/>
        <v>3187.9641429999992</v>
      </c>
      <c r="Q320" s="54">
        <f t="shared" si="76"/>
        <v>528389.16026797832</v>
      </c>
      <c r="R320" s="54">
        <f t="shared" si="77"/>
        <v>238588.90380211346</v>
      </c>
      <c r="S320" s="54">
        <f t="shared" si="78"/>
        <v>445627.08886643249</v>
      </c>
      <c r="T320" s="81">
        <f t="shared" si="79"/>
        <v>201218.50831165223</v>
      </c>
      <c r="U320" s="82">
        <f t="shared" si="80"/>
        <v>2042</v>
      </c>
      <c r="V320" s="414">
        <v>20.8333333333333</v>
      </c>
      <c r="W320" s="185"/>
      <c r="X320" s="185"/>
    </row>
    <row r="321" spans="1:24" s="113" customFormat="1" x14ac:dyDescent="0.2">
      <c r="A321" s="73">
        <v>251</v>
      </c>
      <c r="B321" s="74">
        <f t="shared" si="63"/>
        <v>0</v>
      </c>
      <c r="C321" s="75">
        <f t="shared" si="64"/>
        <v>0</v>
      </c>
      <c r="D321" s="75">
        <f t="shared" si="65"/>
        <v>159.28389816204339</v>
      </c>
      <c r="E321" s="54">
        <f t="shared" si="69"/>
        <v>159.28389816204339</v>
      </c>
      <c r="F321" s="76">
        <f t="shared" si="82"/>
        <v>44001.507153965678</v>
      </c>
      <c r="G321" s="77">
        <f t="shared" si="81"/>
        <v>325.0289117714949</v>
      </c>
      <c r="H321" s="79">
        <f t="shared" si="70"/>
        <v>81582.25685464534</v>
      </c>
      <c r="I321" s="78">
        <f t="shared" si="66"/>
        <v>165.74501360945152</v>
      </c>
      <c r="J321" s="76">
        <f t="shared" si="71"/>
        <v>55318.472222222219</v>
      </c>
      <c r="K321" s="80">
        <f t="shared" si="67"/>
        <v>106.18926544136225</v>
      </c>
      <c r="L321" s="78">
        <f t="shared" si="72"/>
        <v>6.8111585332906976</v>
      </c>
      <c r="M321" s="59">
        <f t="shared" si="68"/>
        <v>27443.599179323617</v>
      </c>
      <c r="N321" s="80">
        <f t="shared" si="73"/>
        <v>82762.071401545836</v>
      </c>
      <c r="O321" s="54">
        <f t="shared" si="74"/>
        <v>37261.715486957626</v>
      </c>
      <c r="P321" s="54">
        <f t="shared" si="75"/>
        <v>3195.0110833333329</v>
      </c>
      <c r="Q321" s="54">
        <f t="shared" si="76"/>
        <v>529557.15548943169</v>
      </c>
      <c r="R321" s="54">
        <f t="shared" si="77"/>
        <v>238420.90619255844</v>
      </c>
      <c r="S321" s="54">
        <f t="shared" si="78"/>
        <v>446795.08408788586</v>
      </c>
      <c r="T321" s="81">
        <f t="shared" si="79"/>
        <v>201159.19070560083</v>
      </c>
      <c r="U321" s="82">
        <f t="shared" si="80"/>
        <v>2042</v>
      </c>
      <c r="V321" s="414">
        <v>20.9166666666666</v>
      </c>
      <c r="W321" s="185"/>
      <c r="X321" s="185"/>
    </row>
    <row r="322" spans="1:24" s="113" customFormat="1" x14ac:dyDescent="0.2">
      <c r="A322" s="73">
        <v>252</v>
      </c>
      <c r="B322" s="74">
        <f t="shared" si="63"/>
        <v>0</v>
      </c>
      <c r="C322" s="75">
        <f t="shared" si="64"/>
        <v>0</v>
      </c>
      <c r="D322" s="75">
        <f t="shared" si="65"/>
        <v>159.28389816204339</v>
      </c>
      <c r="E322" s="54">
        <f t="shared" si="69"/>
        <v>159.28389816204339</v>
      </c>
      <c r="F322" s="76">
        <f t="shared" si="82"/>
        <v>44160.791052127723</v>
      </c>
      <c r="G322" s="77">
        <f t="shared" si="81"/>
        <v>325.0289117714949</v>
      </c>
      <c r="H322" s="79">
        <f t="shared" si="70"/>
        <v>81907.28576641684</v>
      </c>
      <c r="I322" s="78">
        <f t="shared" si="66"/>
        <v>165.74501360945152</v>
      </c>
      <c r="J322" s="76">
        <f t="shared" si="71"/>
        <v>55318.472222222219</v>
      </c>
      <c r="K322" s="80">
        <f t="shared" si="67"/>
        <v>106.18926544136225</v>
      </c>
      <c r="L322" s="78">
        <f t="shared" si="72"/>
        <v>6.8111585332906976</v>
      </c>
      <c r="M322" s="59">
        <f t="shared" si="68"/>
        <v>27443.599179323617</v>
      </c>
      <c r="N322" s="80">
        <f t="shared" si="73"/>
        <v>82762.071401545836</v>
      </c>
      <c r="O322" s="54">
        <f t="shared" si="74"/>
        <v>37153.351544951511</v>
      </c>
      <c r="P322" s="54">
        <f t="shared" si="75"/>
        <v>3202.0580236666665</v>
      </c>
      <c r="Q322" s="54">
        <f t="shared" si="76"/>
        <v>530725.15071088506</v>
      </c>
      <c r="R322" s="54">
        <f t="shared" si="77"/>
        <v>238251.86784462948</v>
      </c>
      <c r="S322" s="54">
        <f t="shared" si="78"/>
        <v>447963.07930933923</v>
      </c>
      <c r="T322" s="81">
        <f t="shared" si="79"/>
        <v>201098.51629967795</v>
      </c>
      <c r="U322" s="82">
        <f t="shared" si="80"/>
        <v>2042</v>
      </c>
      <c r="V322" s="414">
        <v>21</v>
      </c>
      <c r="W322" s="185"/>
      <c r="X322" s="185"/>
    </row>
    <row r="323" spans="1:24" s="113" customFormat="1" x14ac:dyDescent="0.2">
      <c r="A323" s="73">
        <v>253</v>
      </c>
      <c r="B323" s="74">
        <f t="shared" si="63"/>
        <v>0</v>
      </c>
      <c r="C323" s="75">
        <f t="shared" si="64"/>
        <v>0</v>
      </c>
      <c r="D323" s="75">
        <f t="shared" si="65"/>
        <v>159.28389816204339</v>
      </c>
      <c r="E323" s="54">
        <f t="shared" si="69"/>
        <v>159.28389816204339</v>
      </c>
      <c r="F323" s="76">
        <f t="shared" si="82"/>
        <v>44320.074950289767</v>
      </c>
      <c r="G323" s="77">
        <f t="shared" si="81"/>
        <v>325.0289117714949</v>
      </c>
      <c r="H323" s="79">
        <f t="shared" si="70"/>
        <v>82232.314678188341</v>
      </c>
      <c r="I323" s="78">
        <f t="shared" si="66"/>
        <v>165.74501360945152</v>
      </c>
      <c r="J323" s="76">
        <f t="shared" si="71"/>
        <v>55318.472222222219</v>
      </c>
      <c r="K323" s="80">
        <f t="shared" si="67"/>
        <v>106.18926544136225</v>
      </c>
      <c r="L323" s="78">
        <f t="shared" si="72"/>
        <v>6.8111585332906976</v>
      </c>
      <c r="M323" s="59">
        <f t="shared" si="68"/>
        <v>27443.599179323617</v>
      </c>
      <c r="N323" s="80">
        <f t="shared" si="73"/>
        <v>82762.071401545836</v>
      </c>
      <c r="O323" s="54">
        <f t="shared" si="74"/>
        <v>37045.302745277797</v>
      </c>
      <c r="P323" s="54">
        <f t="shared" si="75"/>
        <v>3209.1049639999997</v>
      </c>
      <c r="Q323" s="54">
        <f t="shared" si="76"/>
        <v>531893.14593233832</v>
      </c>
      <c r="R323" s="54">
        <f t="shared" si="77"/>
        <v>238081.79623249086</v>
      </c>
      <c r="S323" s="54">
        <f t="shared" si="78"/>
        <v>449131.07453079248</v>
      </c>
      <c r="T323" s="81">
        <f t="shared" si="79"/>
        <v>201036.49348721307</v>
      </c>
      <c r="U323" s="376">
        <f t="shared" si="80"/>
        <v>2043</v>
      </c>
      <c r="V323" s="414">
        <v>21.0833333333333</v>
      </c>
      <c r="W323" s="185"/>
      <c r="X323" s="185"/>
    </row>
    <row r="324" spans="1:24" s="113" customFormat="1" x14ac:dyDescent="0.2">
      <c r="A324" s="73">
        <v>254</v>
      </c>
      <c r="B324" s="74">
        <f t="shared" si="63"/>
        <v>0</v>
      </c>
      <c r="C324" s="75">
        <f t="shared" si="64"/>
        <v>0</v>
      </c>
      <c r="D324" s="75">
        <f t="shared" si="65"/>
        <v>159.28389816204339</v>
      </c>
      <c r="E324" s="54">
        <f t="shared" si="69"/>
        <v>159.28389816204339</v>
      </c>
      <c r="F324" s="76">
        <f t="shared" si="82"/>
        <v>44479.358848451811</v>
      </c>
      <c r="G324" s="77">
        <f t="shared" si="81"/>
        <v>325.0289117714949</v>
      </c>
      <c r="H324" s="79">
        <f t="shared" si="70"/>
        <v>82557.343589959841</v>
      </c>
      <c r="I324" s="78">
        <f t="shared" si="66"/>
        <v>165.74501360945152</v>
      </c>
      <c r="J324" s="76">
        <f t="shared" si="71"/>
        <v>55318.472222222219</v>
      </c>
      <c r="K324" s="80">
        <f t="shared" si="67"/>
        <v>106.18926544136225</v>
      </c>
      <c r="L324" s="78">
        <f t="shared" si="72"/>
        <v>6.8111585332906976</v>
      </c>
      <c r="M324" s="59">
        <f t="shared" si="68"/>
        <v>27443.599179323617</v>
      </c>
      <c r="N324" s="80">
        <f t="shared" si="73"/>
        <v>82762.071401545836</v>
      </c>
      <c r="O324" s="54">
        <f t="shared" si="74"/>
        <v>36937.568171444407</v>
      </c>
      <c r="P324" s="54">
        <f t="shared" si="75"/>
        <v>3216.1519043333324</v>
      </c>
      <c r="Q324" s="54">
        <f t="shared" si="76"/>
        <v>533061.14115379157</v>
      </c>
      <c r="R324" s="54">
        <f t="shared" si="77"/>
        <v>237910.69879563639</v>
      </c>
      <c r="S324" s="54">
        <f t="shared" si="78"/>
        <v>450299.06975224573</v>
      </c>
      <c r="T324" s="81">
        <f t="shared" si="79"/>
        <v>200973.13062419198</v>
      </c>
      <c r="U324" s="82">
        <f t="shared" si="80"/>
        <v>2043</v>
      </c>
      <c r="V324" s="414">
        <v>21.1666666666666</v>
      </c>
      <c r="W324" s="185"/>
      <c r="X324" s="185"/>
    </row>
    <row r="325" spans="1:24" s="113" customFormat="1" x14ac:dyDescent="0.2">
      <c r="A325" s="73">
        <v>255</v>
      </c>
      <c r="B325" s="74">
        <f t="shared" si="63"/>
        <v>0</v>
      </c>
      <c r="C325" s="75">
        <f t="shared" si="64"/>
        <v>0</v>
      </c>
      <c r="D325" s="75">
        <f t="shared" si="65"/>
        <v>159.28389816204339</v>
      </c>
      <c r="E325" s="54">
        <f t="shared" si="69"/>
        <v>159.28389816204339</v>
      </c>
      <c r="F325" s="76">
        <f t="shared" si="82"/>
        <v>44638.642746613856</v>
      </c>
      <c r="G325" s="77">
        <f t="shared" si="81"/>
        <v>325.0289117714949</v>
      </c>
      <c r="H325" s="79">
        <f t="shared" si="70"/>
        <v>82882.372501731341</v>
      </c>
      <c r="I325" s="78">
        <f t="shared" si="66"/>
        <v>165.74501360945152</v>
      </c>
      <c r="J325" s="76">
        <f t="shared" si="71"/>
        <v>55318.472222222219</v>
      </c>
      <c r="K325" s="80">
        <f t="shared" si="67"/>
        <v>106.18926544136225</v>
      </c>
      <c r="L325" s="78">
        <f t="shared" si="72"/>
        <v>6.8111585332906976</v>
      </c>
      <c r="M325" s="59">
        <f t="shared" si="68"/>
        <v>27443.599179323617</v>
      </c>
      <c r="N325" s="80">
        <f t="shared" si="73"/>
        <v>82762.071401545836</v>
      </c>
      <c r="O325" s="54">
        <f t="shared" si="74"/>
        <v>36830.14690962468</v>
      </c>
      <c r="P325" s="54">
        <f t="shared" si="75"/>
        <v>3223.198844666666</v>
      </c>
      <c r="Q325" s="54">
        <f t="shared" si="76"/>
        <v>534229.13637524494</v>
      </c>
      <c r="R325" s="54">
        <f t="shared" si="77"/>
        <v>237738.58293902833</v>
      </c>
      <c r="S325" s="54">
        <f t="shared" si="78"/>
        <v>451467.0649736991</v>
      </c>
      <c r="T325" s="81">
        <f t="shared" si="79"/>
        <v>200908.43602940365</v>
      </c>
      <c r="U325" s="82">
        <f t="shared" si="80"/>
        <v>2043</v>
      </c>
      <c r="V325" s="414">
        <v>21.25</v>
      </c>
      <c r="W325" s="185"/>
      <c r="X325" s="185"/>
    </row>
    <row r="326" spans="1:24" s="113" customFormat="1" x14ac:dyDescent="0.2">
      <c r="A326" s="73">
        <v>256</v>
      </c>
      <c r="B326" s="74">
        <f t="shared" si="63"/>
        <v>0</v>
      </c>
      <c r="C326" s="75">
        <f t="shared" si="64"/>
        <v>0</v>
      </c>
      <c r="D326" s="75">
        <f t="shared" si="65"/>
        <v>159.28389816204339</v>
      </c>
      <c r="E326" s="54">
        <f t="shared" si="69"/>
        <v>159.28389816204339</v>
      </c>
      <c r="F326" s="76">
        <f t="shared" si="82"/>
        <v>44797.9266447759</v>
      </c>
      <c r="G326" s="77">
        <f t="shared" si="81"/>
        <v>325.0289117714949</v>
      </c>
      <c r="H326" s="79">
        <f t="shared" si="70"/>
        <v>83207.401413502841</v>
      </c>
      <c r="I326" s="78">
        <f t="shared" si="66"/>
        <v>165.74501360945152</v>
      </c>
      <c r="J326" s="76">
        <f t="shared" si="71"/>
        <v>55318.472222222219</v>
      </c>
      <c r="K326" s="80">
        <f t="shared" si="67"/>
        <v>106.18926544136225</v>
      </c>
      <c r="L326" s="78">
        <f t="shared" si="72"/>
        <v>6.8111585332906976</v>
      </c>
      <c r="M326" s="59">
        <f t="shared" si="68"/>
        <v>27443.599179323617</v>
      </c>
      <c r="N326" s="80">
        <f t="shared" si="73"/>
        <v>82762.071401545836</v>
      </c>
      <c r="O326" s="54">
        <f t="shared" si="74"/>
        <v>36723.03804864944</v>
      </c>
      <c r="P326" s="54">
        <f t="shared" si="75"/>
        <v>3230.2457850000001</v>
      </c>
      <c r="Q326" s="54">
        <f t="shared" si="76"/>
        <v>535397.13159669843</v>
      </c>
      <c r="R326" s="54">
        <f t="shared" si="77"/>
        <v>237565.45603323422</v>
      </c>
      <c r="S326" s="54">
        <f t="shared" si="78"/>
        <v>452635.06019515259</v>
      </c>
      <c r="T326" s="81">
        <f t="shared" si="79"/>
        <v>200842.41798458478</v>
      </c>
      <c r="U326" s="82">
        <f t="shared" si="80"/>
        <v>2043</v>
      </c>
      <c r="V326" s="414">
        <v>21.3333333333333</v>
      </c>
      <c r="W326" s="185"/>
      <c r="X326" s="185"/>
    </row>
    <row r="327" spans="1:24" s="113" customFormat="1" x14ac:dyDescent="0.2">
      <c r="A327" s="73">
        <v>257</v>
      </c>
      <c r="B327" s="74">
        <f t="shared" ref="B327:B390" si="83">IF(A327&lt;=$B$60, ($B$60-A327+1)*$B$61*$B$58, 0)</f>
        <v>0</v>
      </c>
      <c r="C327" s="75">
        <f t="shared" ref="C327:C390" si="84">IF(A327&lt;=$B$60, ($B$60-A327+1)*$B$62*(A327-0.5)*$B$58^2, 0)</f>
        <v>0</v>
      </c>
      <c r="D327" s="75">
        <f t="shared" ref="D327:D390" si="85">IF(A327&lt;=$B$60, $B$62*($B$58^2)*((A327-1)^2)/2, $B$62*($B$58^2)*(($B$60)^2)/2)</f>
        <v>159.28389816204339</v>
      </c>
      <c r="E327" s="54">
        <f t="shared" si="69"/>
        <v>159.28389816204339</v>
      </c>
      <c r="F327" s="76">
        <f t="shared" si="82"/>
        <v>44957.210542937944</v>
      </c>
      <c r="G327" s="77">
        <f t="shared" si="81"/>
        <v>325.0289117714949</v>
      </c>
      <c r="H327" s="79">
        <f t="shared" si="70"/>
        <v>83532.430325274341</v>
      </c>
      <c r="I327" s="78">
        <f t="shared" ref="I327:I390" si="86">G327-E327</f>
        <v>165.74501360945152</v>
      </c>
      <c r="J327" s="76">
        <f t="shared" si="71"/>
        <v>55318.472222222219</v>
      </c>
      <c r="K327" s="80">
        <f t="shared" ref="K327:K390" si="87">IF(A327&lt;=$B$60,$B$29/$B$60+A327*$B$58*$B$62,$B$62*$B$58*$B$60)</f>
        <v>106.18926544136225</v>
      </c>
      <c r="L327" s="78">
        <f t="shared" si="72"/>
        <v>6.8111585332906976</v>
      </c>
      <c r="M327" s="59">
        <f t="shared" ref="M327:M390" si="88">(K327/$B$29/$B$50)*($B$35*$B$51+$B$38*$B$52)</f>
        <v>27443.599179323617</v>
      </c>
      <c r="N327" s="80">
        <f t="shared" si="73"/>
        <v>82762.071401545836</v>
      </c>
      <c r="O327" s="54">
        <f t="shared" si="74"/>
        <v>36616.24067999945</v>
      </c>
      <c r="P327" s="54">
        <f t="shared" si="75"/>
        <v>3237.2927253333328</v>
      </c>
      <c r="Q327" s="54">
        <f t="shared" si="76"/>
        <v>536565.12681815168</v>
      </c>
      <c r="R327" s="54">
        <f t="shared" si="77"/>
        <v>237391.32541456545</v>
      </c>
      <c r="S327" s="54">
        <f t="shared" si="78"/>
        <v>453803.05541660584</v>
      </c>
      <c r="T327" s="81">
        <f t="shared" si="79"/>
        <v>200775.08473456599</v>
      </c>
      <c r="U327" s="82">
        <f t="shared" si="80"/>
        <v>2043</v>
      </c>
      <c r="V327" s="414">
        <v>21.4166666666666</v>
      </c>
      <c r="W327" s="185"/>
      <c r="X327" s="185"/>
    </row>
    <row r="328" spans="1:24" s="113" customFormat="1" x14ac:dyDescent="0.2">
      <c r="A328" s="73">
        <v>258</v>
      </c>
      <c r="B328" s="74">
        <f t="shared" si="83"/>
        <v>0</v>
      </c>
      <c r="C328" s="75">
        <f t="shared" si="84"/>
        <v>0</v>
      </c>
      <c r="D328" s="75">
        <f t="shared" si="85"/>
        <v>159.28389816204339</v>
      </c>
      <c r="E328" s="54">
        <f t="shared" ref="E328:E391" si="89">SUM(B328:D328)</f>
        <v>159.28389816204339</v>
      </c>
      <c r="F328" s="76">
        <f t="shared" si="82"/>
        <v>45116.494441099989</v>
      </c>
      <c r="G328" s="77">
        <f t="shared" si="81"/>
        <v>325.0289117714949</v>
      </c>
      <c r="H328" s="79">
        <f t="shared" ref="H328:H391" si="90">G328+H327</f>
        <v>83857.459237045841</v>
      </c>
      <c r="I328" s="78">
        <f t="shared" si="86"/>
        <v>165.74501360945152</v>
      </c>
      <c r="J328" s="76">
        <f t="shared" ref="J328:J391" si="91">$B$63</f>
        <v>55318.472222222219</v>
      </c>
      <c r="K328" s="80">
        <f t="shared" si="87"/>
        <v>106.18926544136225</v>
      </c>
      <c r="L328" s="78">
        <f t="shared" ref="L328:L391" si="92">K328/$B$29*($B$35+$B$38)</f>
        <v>6.8111585332906976</v>
      </c>
      <c r="M328" s="59">
        <f t="shared" si="88"/>
        <v>27443.599179323617</v>
      </c>
      <c r="N328" s="80">
        <f t="shared" ref="N328:N391" si="93">J328+M328</f>
        <v>82762.071401545836</v>
      </c>
      <c r="O328" s="54">
        <f t="shared" ref="O328:O391" si="94">N328/((1+$B$41*$B$58)^((24+A328-1)))</f>
        <v>36509.753897797535</v>
      </c>
      <c r="P328" s="54">
        <f t="shared" ref="P328:P391" si="95">$P$71*(1+$B$44*(A328-1)*$B$58)</f>
        <v>3244.339665666666</v>
      </c>
      <c r="Q328" s="54">
        <f t="shared" ref="Q328:Q391" si="96">(G328-E328)*P328</f>
        <v>537733.12203960493</v>
      </c>
      <c r="R328" s="54">
        <f t="shared" ref="R328:R391" si="97">Q328/((1+$B$41*$B$58)^((24+A328-1)))</f>
        <v>237216.19838521353</v>
      </c>
      <c r="S328" s="54">
        <f t="shared" ref="S328:S391" si="98">Q328-N328</f>
        <v>454971.0506380591</v>
      </c>
      <c r="T328" s="81">
        <f t="shared" ref="T328:T391" si="99">S328/((1+$B$41*$B$58)^((24+A328-1)))</f>
        <v>200706.44448741598</v>
      </c>
      <c r="U328" s="82">
        <f t="shared" ref="U328:U391" si="100">IF(MOD(A327,12)=0,U327+1,U327)</f>
        <v>2043</v>
      </c>
      <c r="V328" s="414">
        <v>21.5</v>
      </c>
      <c r="W328" s="185"/>
      <c r="X328" s="185"/>
    </row>
    <row r="329" spans="1:24" s="113" customFormat="1" x14ac:dyDescent="0.2">
      <c r="A329" s="73">
        <v>259</v>
      </c>
      <c r="B329" s="74">
        <f t="shared" si="83"/>
        <v>0</v>
      </c>
      <c r="C329" s="75">
        <f t="shared" si="84"/>
        <v>0</v>
      </c>
      <c r="D329" s="75">
        <f t="shared" si="85"/>
        <v>159.28389816204339</v>
      </c>
      <c r="E329" s="54">
        <f t="shared" si="89"/>
        <v>159.28389816204339</v>
      </c>
      <c r="F329" s="76">
        <f t="shared" si="82"/>
        <v>45275.778339262033</v>
      </c>
      <c r="G329" s="77">
        <f t="shared" ref="G329:G392" si="101">G328</f>
        <v>325.0289117714949</v>
      </c>
      <c r="H329" s="79">
        <f t="shared" si="90"/>
        <v>84182.488148817341</v>
      </c>
      <c r="I329" s="78">
        <f t="shared" si="86"/>
        <v>165.74501360945152</v>
      </c>
      <c r="J329" s="76">
        <f t="shared" si="91"/>
        <v>55318.472222222219</v>
      </c>
      <c r="K329" s="80">
        <f t="shared" si="87"/>
        <v>106.18926544136225</v>
      </c>
      <c r="L329" s="78">
        <f t="shared" si="92"/>
        <v>6.8111585332906976</v>
      </c>
      <c r="M329" s="59">
        <f t="shared" si="88"/>
        <v>27443.599179323617</v>
      </c>
      <c r="N329" s="80">
        <f t="shared" si="93"/>
        <v>82762.071401545836</v>
      </c>
      <c r="O329" s="54">
        <f t="shared" si="94"/>
        <v>36403.576798801034</v>
      </c>
      <c r="P329" s="54">
        <f t="shared" si="95"/>
        <v>3251.3866059999996</v>
      </c>
      <c r="Q329" s="54">
        <f t="shared" si="96"/>
        <v>538901.1172610583</v>
      </c>
      <c r="R329" s="54">
        <f t="shared" si="97"/>
        <v>237040.08221338684</v>
      </c>
      <c r="S329" s="54">
        <f t="shared" si="98"/>
        <v>456139.04585951247</v>
      </c>
      <c r="T329" s="81">
        <f t="shared" si="99"/>
        <v>200636.50541458582</v>
      </c>
      <c r="U329" s="82">
        <f t="shared" si="100"/>
        <v>2043</v>
      </c>
      <c r="V329" s="414">
        <v>21.5833333333333</v>
      </c>
      <c r="W329" s="185"/>
      <c r="X329" s="185"/>
    </row>
    <row r="330" spans="1:24" s="113" customFormat="1" x14ac:dyDescent="0.2">
      <c r="A330" s="73">
        <v>260</v>
      </c>
      <c r="B330" s="74">
        <f t="shared" si="83"/>
        <v>0</v>
      </c>
      <c r="C330" s="75">
        <f t="shared" si="84"/>
        <v>0</v>
      </c>
      <c r="D330" s="75">
        <f t="shared" si="85"/>
        <v>159.28389816204339</v>
      </c>
      <c r="E330" s="54">
        <f t="shared" si="89"/>
        <v>159.28389816204339</v>
      </c>
      <c r="F330" s="76">
        <f t="shared" ref="F330:F393" si="102">E330+F329</f>
        <v>45435.062237424077</v>
      </c>
      <c r="G330" s="77">
        <f t="shared" si="101"/>
        <v>325.0289117714949</v>
      </c>
      <c r="H330" s="79">
        <f t="shared" si="90"/>
        <v>84507.517060588842</v>
      </c>
      <c r="I330" s="78">
        <f t="shared" si="86"/>
        <v>165.74501360945152</v>
      </c>
      <c r="J330" s="76">
        <f t="shared" si="91"/>
        <v>55318.472222222219</v>
      </c>
      <c r="K330" s="80">
        <f t="shared" si="87"/>
        <v>106.18926544136225</v>
      </c>
      <c r="L330" s="78">
        <f t="shared" si="92"/>
        <v>6.8111585332906976</v>
      </c>
      <c r="M330" s="59">
        <f t="shared" si="88"/>
        <v>27443.599179323617</v>
      </c>
      <c r="N330" s="80">
        <f t="shared" si="93"/>
        <v>82762.071401545836</v>
      </c>
      <c r="O330" s="54">
        <f t="shared" si="94"/>
        <v>36297.708482394039</v>
      </c>
      <c r="P330" s="54">
        <f t="shared" si="95"/>
        <v>3258.4335463333327</v>
      </c>
      <c r="Q330" s="54">
        <f t="shared" si="96"/>
        <v>540069.11248251155</v>
      </c>
      <c r="R330" s="54">
        <f t="shared" si="97"/>
        <v>236862.98413344604</v>
      </c>
      <c r="S330" s="54">
        <f t="shared" si="98"/>
        <v>457307.04108096572</v>
      </c>
      <c r="T330" s="81">
        <f t="shared" si="99"/>
        <v>200565.27565105201</v>
      </c>
      <c r="U330" s="82">
        <f t="shared" si="100"/>
        <v>2043</v>
      </c>
      <c r="V330" s="414">
        <v>21.6666666666666</v>
      </c>
      <c r="W330" s="185"/>
      <c r="X330" s="185"/>
    </row>
    <row r="331" spans="1:24" s="113" customFormat="1" x14ac:dyDescent="0.2">
      <c r="A331" s="73">
        <v>261</v>
      </c>
      <c r="B331" s="74">
        <f t="shared" si="83"/>
        <v>0</v>
      </c>
      <c r="C331" s="75">
        <f t="shared" si="84"/>
        <v>0</v>
      </c>
      <c r="D331" s="75">
        <f t="shared" si="85"/>
        <v>159.28389816204339</v>
      </c>
      <c r="E331" s="54">
        <f t="shared" si="89"/>
        <v>159.28389816204339</v>
      </c>
      <c r="F331" s="76">
        <f t="shared" si="102"/>
        <v>45594.346135586122</v>
      </c>
      <c r="G331" s="77">
        <f t="shared" si="101"/>
        <v>325.0289117714949</v>
      </c>
      <c r="H331" s="79">
        <f t="shared" si="90"/>
        <v>84832.545972360342</v>
      </c>
      <c r="I331" s="78">
        <f t="shared" si="86"/>
        <v>165.74501360945152</v>
      </c>
      <c r="J331" s="76">
        <f t="shared" si="91"/>
        <v>55318.472222222219</v>
      </c>
      <c r="K331" s="80">
        <f t="shared" si="87"/>
        <v>106.18926544136225</v>
      </c>
      <c r="L331" s="78">
        <f t="shared" si="92"/>
        <v>6.8111585332906976</v>
      </c>
      <c r="M331" s="59">
        <f t="shared" si="88"/>
        <v>27443.599179323617</v>
      </c>
      <c r="N331" s="80">
        <f t="shared" si="93"/>
        <v>82762.071401545836</v>
      </c>
      <c r="O331" s="54">
        <f t="shared" si="94"/>
        <v>36192.148050579854</v>
      </c>
      <c r="P331" s="54">
        <f t="shared" si="95"/>
        <v>3265.4804866666664</v>
      </c>
      <c r="Q331" s="54">
        <f t="shared" si="96"/>
        <v>541237.10770396504</v>
      </c>
      <c r="R331" s="54">
        <f t="shared" si="97"/>
        <v>236684.91134604035</v>
      </c>
      <c r="S331" s="54">
        <f t="shared" si="98"/>
        <v>458475.0363024192</v>
      </c>
      <c r="T331" s="81">
        <f t="shared" si="99"/>
        <v>200492.76329546049</v>
      </c>
      <c r="U331" s="82">
        <f t="shared" si="100"/>
        <v>2043</v>
      </c>
      <c r="V331" s="414">
        <v>21.75</v>
      </c>
      <c r="W331" s="185"/>
      <c r="X331" s="185"/>
    </row>
    <row r="332" spans="1:24" s="113" customFormat="1" x14ac:dyDescent="0.2">
      <c r="A332" s="73">
        <v>262</v>
      </c>
      <c r="B332" s="74">
        <f t="shared" si="83"/>
        <v>0</v>
      </c>
      <c r="C332" s="75">
        <f t="shared" si="84"/>
        <v>0</v>
      </c>
      <c r="D332" s="75">
        <f t="shared" si="85"/>
        <v>159.28389816204339</v>
      </c>
      <c r="E332" s="54">
        <f t="shared" si="89"/>
        <v>159.28389816204339</v>
      </c>
      <c r="F332" s="76">
        <f t="shared" si="102"/>
        <v>45753.630033748166</v>
      </c>
      <c r="G332" s="77">
        <f t="shared" si="101"/>
        <v>325.0289117714949</v>
      </c>
      <c r="H332" s="79">
        <f t="shared" si="90"/>
        <v>85157.574884131842</v>
      </c>
      <c r="I332" s="78">
        <f t="shared" si="86"/>
        <v>165.74501360945152</v>
      </c>
      <c r="J332" s="76">
        <f t="shared" si="91"/>
        <v>55318.472222222219</v>
      </c>
      <c r="K332" s="80">
        <f t="shared" si="87"/>
        <v>106.18926544136225</v>
      </c>
      <c r="L332" s="78">
        <f t="shared" si="92"/>
        <v>6.8111585332906976</v>
      </c>
      <c r="M332" s="59">
        <f t="shared" si="88"/>
        <v>27443.599179323617</v>
      </c>
      <c r="N332" s="80">
        <f t="shared" si="93"/>
        <v>82762.071401545836</v>
      </c>
      <c r="O332" s="54">
        <f t="shared" si="94"/>
        <v>36086.894607973263</v>
      </c>
      <c r="P332" s="54">
        <f t="shared" si="95"/>
        <v>3272.5274269999995</v>
      </c>
      <c r="Q332" s="54">
        <f t="shared" si="96"/>
        <v>542405.10292541829</v>
      </c>
      <c r="R332" s="54">
        <f t="shared" si="97"/>
        <v>236505.8710182411</v>
      </c>
      <c r="S332" s="54">
        <f t="shared" si="98"/>
        <v>459643.03152387246</v>
      </c>
      <c r="T332" s="81">
        <f t="shared" si="99"/>
        <v>200418.97641026785</v>
      </c>
      <c r="U332" s="82">
        <f t="shared" si="100"/>
        <v>2043</v>
      </c>
      <c r="V332" s="414">
        <v>21.8333333333333</v>
      </c>
      <c r="W332" s="185"/>
      <c r="X332" s="185"/>
    </row>
    <row r="333" spans="1:24" s="113" customFormat="1" x14ac:dyDescent="0.2">
      <c r="A333" s="73">
        <v>263</v>
      </c>
      <c r="B333" s="74">
        <f t="shared" si="83"/>
        <v>0</v>
      </c>
      <c r="C333" s="75">
        <f t="shared" si="84"/>
        <v>0</v>
      </c>
      <c r="D333" s="75">
        <f t="shared" si="85"/>
        <v>159.28389816204339</v>
      </c>
      <c r="E333" s="54">
        <f t="shared" si="89"/>
        <v>159.28389816204339</v>
      </c>
      <c r="F333" s="76">
        <f t="shared" si="102"/>
        <v>45912.913931910211</v>
      </c>
      <c r="G333" s="77">
        <f t="shared" si="101"/>
        <v>325.0289117714949</v>
      </c>
      <c r="H333" s="79">
        <f t="shared" si="90"/>
        <v>85482.603795903342</v>
      </c>
      <c r="I333" s="78">
        <f t="shared" si="86"/>
        <v>165.74501360945152</v>
      </c>
      <c r="J333" s="76">
        <f t="shared" si="91"/>
        <v>55318.472222222219</v>
      </c>
      <c r="K333" s="80">
        <f t="shared" si="87"/>
        <v>106.18926544136225</v>
      </c>
      <c r="L333" s="78">
        <f t="shared" si="92"/>
        <v>6.8111585332906976</v>
      </c>
      <c r="M333" s="59">
        <f t="shared" si="88"/>
        <v>27443.599179323617</v>
      </c>
      <c r="N333" s="80">
        <f t="shared" si="93"/>
        <v>82762.071401545836</v>
      </c>
      <c r="O333" s="54">
        <f t="shared" si="94"/>
        <v>35981.947261793037</v>
      </c>
      <c r="P333" s="54">
        <f t="shared" si="95"/>
        <v>3279.5743673333322</v>
      </c>
      <c r="Q333" s="54">
        <f t="shared" si="96"/>
        <v>543573.09814687155</v>
      </c>
      <c r="R333" s="54">
        <f t="shared" si="97"/>
        <v>236325.87028367756</v>
      </c>
      <c r="S333" s="54">
        <f t="shared" si="98"/>
        <v>460811.02674532571</v>
      </c>
      <c r="T333" s="81">
        <f t="shared" si="99"/>
        <v>200343.92302188452</v>
      </c>
      <c r="U333" s="82">
        <f t="shared" si="100"/>
        <v>2043</v>
      </c>
      <c r="V333" s="414">
        <v>21.9166666666666</v>
      </c>
      <c r="W333" s="185"/>
      <c r="X333" s="185"/>
    </row>
    <row r="334" spans="1:24" s="113" customFormat="1" x14ac:dyDescent="0.2">
      <c r="A334" s="73">
        <v>264</v>
      </c>
      <c r="B334" s="74">
        <f t="shared" si="83"/>
        <v>0</v>
      </c>
      <c r="C334" s="75">
        <f t="shared" si="84"/>
        <v>0</v>
      </c>
      <c r="D334" s="75">
        <f t="shared" si="85"/>
        <v>159.28389816204339</v>
      </c>
      <c r="E334" s="54">
        <f t="shared" si="89"/>
        <v>159.28389816204339</v>
      </c>
      <c r="F334" s="76">
        <f t="shared" si="102"/>
        <v>46072.197830072255</v>
      </c>
      <c r="G334" s="77">
        <f t="shared" si="101"/>
        <v>325.0289117714949</v>
      </c>
      <c r="H334" s="79">
        <f t="shared" si="90"/>
        <v>85807.632707674842</v>
      </c>
      <c r="I334" s="78">
        <f t="shared" si="86"/>
        <v>165.74501360945152</v>
      </c>
      <c r="J334" s="76">
        <f t="shared" si="91"/>
        <v>55318.472222222219</v>
      </c>
      <c r="K334" s="80">
        <f t="shared" si="87"/>
        <v>106.18926544136225</v>
      </c>
      <c r="L334" s="78">
        <f t="shared" si="92"/>
        <v>6.8111585332906976</v>
      </c>
      <c r="M334" s="59">
        <f t="shared" si="88"/>
        <v>27443.599179323617</v>
      </c>
      <c r="N334" s="80">
        <f t="shared" si="93"/>
        <v>82762.071401545836</v>
      </c>
      <c r="O334" s="54">
        <f t="shared" si="94"/>
        <v>35877.30512185429</v>
      </c>
      <c r="P334" s="54">
        <f t="shared" si="95"/>
        <v>3286.6213076666659</v>
      </c>
      <c r="Q334" s="54">
        <f t="shared" si="96"/>
        <v>544741.09336832492</v>
      </c>
      <c r="R334" s="54">
        <f t="shared" si="97"/>
        <v>236144.91624266989</v>
      </c>
      <c r="S334" s="54">
        <f t="shared" si="98"/>
        <v>461979.02196677908</v>
      </c>
      <c r="T334" s="81">
        <f t="shared" si="99"/>
        <v>200267.61112081562</v>
      </c>
      <c r="U334" s="82">
        <f t="shared" si="100"/>
        <v>2043</v>
      </c>
      <c r="V334" s="414">
        <v>22</v>
      </c>
      <c r="W334" s="185"/>
      <c r="X334" s="185"/>
    </row>
    <row r="335" spans="1:24" s="113" customFormat="1" x14ac:dyDescent="0.2">
      <c r="A335" s="73">
        <v>265</v>
      </c>
      <c r="B335" s="74">
        <f t="shared" si="83"/>
        <v>0</v>
      </c>
      <c r="C335" s="75">
        <f t="shared" si="84"/>
        <v>0</v>
      </c>
      <c r="D335" s="75">
        <f t="shared" si="85"/>
        <v>159.28389816204339</v>
      </c>
      <c r="E335" s="54">
        <f t="shared" si="89"/>
        <v>159.28389816204339</v>
      </c>
      <c r="F335" s="76">
        <f t="shared" si="102"/>
        <v>46231.481728234299</v>
      </c>
      <c r="G335" s="77">
        <f t="shared" si="101"/>
        <v>325.0289117714949</v>
      </c>
      <c r="H335" s="79">
        <f t="shared" si="90"/>
        <v>86132.661619446342</v>
      </c>
      <c r="I335" s="78">
        <f t="shared" si="86"/>
        <v>165.74501360945152</v>
      </c>
      <c r="J335" s="76">
        <f t="shared" si="91"/>
        <v>55318.472222222219</v>
      </c>
      <c r="K335" s="80">
        <f t="shared" si="87"/>
        <v>106.18926544136225</v>
      </c>
      <c r="L335" s="78">
        <f t="shared" si="92"/>
        <v>6.8111585332906976</v>
      </c>
      <c r="M335" s="59">
        <f t="shared" si="88"/>
        <v>27443.599179323617</v>
      </c>
      <c r="N335" s="80">
        <f t="shared" si="93"/>
        <v>82762.071401545836</v>
      </c>
      <c r="O335" s="54">
        <f t="shared" si="94"/>
        <v>35772.967300561002</v>
      </c>
      <c r="P335" s="54">
        <f t="shared" si="95"/>
        <v>3293.6682479999995</v>
      </c>
      <c r="Q335" s="54">
        <f t="shared" si="96"/>
        <v>545909.08858977829</v>
      </c>
      <c r="R335" s="54">
        <f t="shared" si="97"/>
        <v>235963.0159623631</v>
      </c>
      <c r="S335" s="54">
        <f t="shared" si="98"/>
        <v>463147.01718823245</v>
      </c>
      <c r="T335" s="81">
        <f t="shared" si="99"/>
        <v>200190.04866180211</v>
      </c>
      <c r="U335" s="376">
        <f t="shared" si="100"/>
        <v>2044</v>
      </c>
      <c r="V335" s="414">
        <v>22.0833333333333</v>
      </c>
      <c r="W335" s="185"/>
      <c r="X335" s="185"/>
    </row>
    <row r="336" spans="1:24" s="113" customFormat="1" x14ac:dyDescent="0.2">
      <c r="A336" s="73">
        <v>266</v>
      </c>
      <c r="B336" s="74">
        <f t="shared" si="83"/>
        <v>0</v>
      </c>
      <c r="C336" s="75">
        <f t="shared" si="84"/>
        <v>0</v>
      </c>
      <c r="D336" s="75">
        <f t="shared" si="85"/>
        <v>159.28389816204339</v>
      </c>
      <c r="E336" s="54">
        <f t="shared" si="89"/>
        <v>159.28389816204339</v>
      </c>
      <c r="F336" s="76">
        <f t="shared" si="102"/>
        <v>46390.765626396344</v>
      </c>
      <c r="G336" s="77">
        <f t="shared" si="101"/>
        <v>325.0289117714949</v>
      </c>
      <c r="H336" s="79">
        <f t="shared" si="90"/>
        <v>86457.690531217842</v>
      </c>
      <c r="I336" s="78">
        <f t="shared" si="86"/>
        <v>165.74501360945152</v>
      </c>
      <c r="J336" s="76">
        <f t="shared" si="91"/>
        <v>55318.472222222219</v>
      </c>
      <c r="K336" s="80">
        <f t="shared" si="87"/>
        <v>106.18926544136225</v>
      </c>
      <c r="L336" s="78">
        <f t="shared" si="92"/>
        <v>6.8111585332906976</v>
      </c>
      <c r="M336" s="59">
        <f t="shared" si="88"/>
        <v>27443.599179323617</v>
      </c>
      <c r="N336" s="80">
        <f t="shared" si="93"/>
        <v>82762.071401545836</v>
      </c>
      <c r="O336" s="54">
        <f t="shared" si="94"/>
        <v>35668.932912898381</v>
      </c>
      <c r="P336" s="54">
        <f t="shared" si="95"/>
        <v>3300.7151883333327</v>
      </c>
      <c r="Q336" s="54">
        <f t="shared" si="96"/>
        <v>547077.08381123154</v>
      </c>
      <c r="R336" s="54">
        <f t="shared" si="97"/>
        <v>235780.17647685923</v>
      </c>
      <c r="S336" s="54">
        <f t="shared" si="98"/>
        <v>464315.0124096857</v>
      </c>
      <c r="T336" s="81">
        <f t="shared" si="99"/>
        <v>200111.24356396086</v>
      </c>
      <c r="U336" s="82">
        <f t="shared" si="100"/>
        <v>2044</v>
      </c>
      <c r="V336" s="414">
        <v>22.1666666666666</v>
      </c>
      <c r="W336" s="185"/>
      <c r="X336" s="185"/>
    </row>
    <row r="337" spans="1:24" s="113" customFormat="1" x14ac:dyDescent="0.2">
      <c r="A337" s="73">
        <v>267</v>
      </c>
      <c r="B337" s="74">
        <f t="shared" si="83"/>
        <v>0</v>
      </c>
      <c r="C337" s="75">
        <f t="shared" si="84"/>
        <v>0</v>
      </c>
      <c r="D337" s="75">
        <f t="shared" si="85"/>
        <v>159.28389816204339</v>
      </c>
      <c r="E337" s="54">
        <f t="shared" si="89"/>
        <v>159.28389816204339</v>
      </c>
      <c r="F337" s="76">
        <f t="shared" si="102"/>
        <v>46550.049524558388</v>
      </c>
      <c r="G337" s="77">
        <f t="shared" si="101"/>
        <v>325.0289117714949</v>
      </c>
      <c r="H337" s="79">
        <f t="shared" si="90"/>
        <v>86782.719442989342</v>
      </c>
      <c r="I337" s="78">
        <f t="shared" si="86"/>
        <v>165.74501360945152</v>
      </c>
      <c r="J337" s="76">
        <f t="shared" si="91"/>
        <v>55318.472222222219</v>
      </c>
      <c r="K337" s="80">
        <f t="shared" si="87"/>
        <v>106.18926544136225</v>
      </c>
      <c r="L337" s="78">
        <f t="shared" si="92"/>
        <v>6.8111585332906976</v>
      </c>
      <c r="M337" s="59">
        <f t="shared" si="88"/>
        <v>27443.599179323617</v>
      </c>
      <c r="N337" s="80">
        <f t="shared" si="93"/>
        <v>82762.071401545836</v>
      </c>
      <c r="O337" s="54">
        <f t="shared" si="94"/>
        <v>35565.201076425474</v>
      </c>
      <c r="P337" s="54">
        <f t="shared" si="95"/>
        <v>3307.7621286666658</v>
      </c>
      <c r="Q337" s="54">
        <f t="shared" si="96"/>
        <v>548245.07903268491</v>
      </c>
      <c r="R337" s="54">
        <f t="shared" si="97"/>
        <v>235596.40478735071</v>
      </c>
      <c r="S337" s="54">
        <f t="shared" si="98"/>
        <v>465483.00763113907</v>
      </c>
      <c r="T337" s="81">
        <f t="shared" si="99"/>
        <v>200031.20371092524</v>
      </c>
      <c r="U337" s="82">
        <f t="shared" si="100"/>
        <v>2044</v>
      </c>
      <c r="V337" s="414">
        <v>22.25</v>
      </c>
      <c r="W337" s="185"/>
      <c r="X337" s="185"/>
    </row>
    <row r="338" spans="1:24" s="113" customFormat="1" x14ac:dyDescent="0.2">
      <c r="A338" s="73">
        <v>268</v>
      </c>
      <c r="B338" s="74">
        <f t="shared" si="83"/>
        <v>0</v>
      </c>
      <c r="C338" s="75">
        <f t="shared" si="84"/>
        <v>0</v>
      </c>
      <c r="D338" s="75">
        <f t="shared" si="85"/>
        <v>159.28389816204339</v>
      </c>
      <c r="E338" s="54">
        <f t="shared" si="89"/>
        <v>159.28389816204339</v>
      </c>
      <c r="F338" s="76">
        <f t="shared" si="102"/>
        <v>46709.333422720432</v>
      </c>
      <c r="G338" s="77">
        <f t="shared" si="101"/>
        <v>325.0289117714949</v>
      </c>
      <c r="H338" s="79">
        <f t="shared" si="90"/>
        <v>87107.748354760843</v>
      </c>
      <c r="I338" s="78">
        <f t="shared" si="86"/>
        <v>165.74501360945152</v>
      </c>
      <c r="J338" s="76">
        <f t="shared" si="91"/>
        <v>55318.472222222219</v>
      </c>
      <c r="K338" s="80">
        <f t="shared" si="87"/>
        <v>106.18926544136225</v>
      </c>
      <c r="L338" s="78">
        <f t="shared" si="92"/>
        <v>6.8111585332906976</v>
      </c>
      <c r="M338" s="59">
        <f t="shared" si="88"/>
        <v>27443.599179323617</v>
      </c>
      <c r="N338" s="80">
        <f t="shared" si="93"/>
        <v>82762.071401545836</v>
      </c>
      <c r="O338" s="54">
        <f t="shared" si="94"/>
        <v>35461.770911267609</v>
      </c>
      <c r="P338" s="54">
        <f t="shared" si="95"/>
        <v>3314.8090689999995</v>
      </c>
      <c r="Q338" s="54">
        <f t="shared" si="96"/>
        <v>549413.07425413828</v>
      </c>
      <c r="R338" s="54">
        <f t="shared" si="97"/>
        <v>235411.70786225153</v>
      </c>
      <c r="S338" s="54">
        <f t="shared" si="98"/>
        <v>466651.00285259244</v>
      </c>
      <c r="T338" s="81">
        <f t="shared" si="99"/>
        <v>199949.93695098392</v>
      </c>
      <c r="U338" s="82">
        <f t="shared" si="100"/>
        <v>2044</v>
      </c>
      <c r="V338" s="414">
        <v>22.3333333333333</v>
      </c>
      <c r="W338" s="185"/>
      <c r="X338" s="185"/>
    </row>
    <row r="339" spans="1:24" s="113" customFormat="1" x14ac:dyDescent="0.2">
      <c r="A339" s="73">
        <v>269</v>
      </c>
      <c r="B339" s="74">
        <f t="shared" si="83"/>
        <v>0</v>
      </c>
      <c r="C339" s="75">
        <f t="shared" si="84"/>
        <v>0</v>
      </c>
      <c r="D339" s="75">
        <f t="shared" si="85"/>
        <v>159.28389816204339</v>
      </c>
      <c r="E339" s="54">
        <f t="shared" si="89"/>
        <v>159.28389816204339</v>
      </c>
      <c r="F339" s="76">
        <f t="shared" si="102"/>
        <v>46868.617320882477</v>
      </c>
      <c r="G339" s="77">
        <f t="shared" si="101"/>
        <v>325.0289117714949</v>
      </c>
      <c r="H339" s="79">
        <f t="shared" si="90"/>
        <v>87432.777266532343</v>
      </c>
      <c r="I339" s="78">
        <f t="shared" si="86"/>
        <v>165.74501360945152</v>
      </c>
      <c r="J339" s="76">
        <f t="shared" si="91"/>
        <v>55318.472222222219</v>
      </c>
      <c r="K339" s="80">
        <f t="shared" si="87"/>
        <v>106.18926544136225</v>
      </c>
      <c r="L339" s="78">
        <f t="shared" si="92"/>
        <v>6.8111585332906976</v>
      </c>
      <c r="M339" s="59">
        <f t="shared" si="88"/>
        <v>27443.599179323617</v>
      </c>
      <c r="N339" s="80">
        <f t="shared" si="93"/>
        <v>82762.071401545836</v>
      </c>
      <c r="O339" s="54">
        <f t="shared" si="94"/>
        <v>35358.641540108954</v>
      </c>
      <c r="P339" s="54">
        <f t="shared" si="95"/>
        <v>3321.8560093333331</v>
      </c>
      <c r="Q339" s="54">
        <f t="shared" si="96"/>
        <v>550581.06947559165</v>
      </c>
      <c r="R339" s="54">
        <f t="shared" si="97"/>
        <v>235226.09263732916</v>
      </c>
      <c r="S339" s="54">
        <f t="shared" si="98"/>
        <v>467818.99807404581</v>
      </c>
      <c r="T339" s="81">
        <f t="shared" si="99"/>
        <v>199867.45109722021</v>
      </c>
      <c r="U339" s="82">
        <f t="shared" si="100"/>
        <v>2044</v>
      </c>
      <c r="V339" s="414">
        <v>22.4166666666666</v>
      </c>
      <c r="W339" s="185"/>
      <c r="X339" s="185"/>
    </row>
    <row r="340" spans="1:24" s="113" customFormat="1" x14ac:dyDescent="0.2">
      <c r="A340" s="73">
        <v>270</v>
      </c>
      <c r="B340" s="74">
        <f t="shared" si="83"/>
        <v>0</v>
      </c>
      <c r="C340" s="75">
        <f t="shared" si="84"/>
        <v>0</v>
      </c>
      <c r="D340" s="75">
        <f t="shared" si="85"/>
        <v>159.28389816204339</v>
      </c>
      <c r="E340" s="54">
        <f t="shared" si="89"/>
        <v>159.28389816204339</v>
      </c>
      <c r="F340" s="76">
        <f t="shared" si="102"/>
        <v>47027.901219044521</v>
      </c>
      <c r="G340" s="77">
        <f t="shared" si="101"/>
        <v>325.0289117714949</v>
      </c>
      <c r="H340" s="79">
        <f t="shared" si="90"/>
        <v>87757.806178303843</v>
      </c>
      <c r="I340" s="78">
        <f t="shared" si="86"/>
        <v>165.74501360945152</v>
      </c>
      <c r="J340" s="76">
        <f t="shared" si="91"/>
        <v>55318.472222222219</v>
      </c>
      <c r="K340" s="80">
        <f t="shared" si="87"/>
        <v>106.18926544136225</v>
      </c>
      <c r="L340" s="78">
        <f t="shared" si="92"/>
        <v>6.8111585332906976</v>
      </c>
      <c r="M340" s="59">
        <f t="shared" si="88"/>
        <v>27443.599179323617</v>
      </c>
      <c r="N340" s="80">
        <f t="shared" si="93"/>
        <v>82762.071401545836</v>
      </c>
      <c r="O340" s="54">
        <f t="shared" si="94"/>
        <v>35255.812088185085</v>
      </c>
      <c r="P340" s="54">
        <f t="shared" si="95"/>
        <v>3328.9029496666662</v>
      </c>
      <c r="Q340" s="54">
        <f t="shared" si="96"/>
        <v>551749.0646970449</v>
      </c>
      <c r="R340" s="54">
        <f t="shared" si="97"/>
        <v>235039.56601583509</v>
      </c>
      <c r="S340" s="54">
        <f t="shared" si="98"/>
        <v>468986.99329549907</v>
      </c>
      <c r="T340" s="81">
        <f t="shared" si="99"/>
        <v>199783.75392765002</v>
      </c>
      <c r="U340" s="82">
        <f t="shared" si="100"/>
        <v>2044</v>
      </c>
      <c r="V340" s="414">
        <v>22.5</v>
      </c>
      <c r="W340" s="185"/>
      <c r="X340" s="185"/>
    </row>
    <row r="341" spans="1:24" s="113" customFormat="1" x14ac:dyDescent="0.2">
      <c r="A341" s="73">
        <v>271</v>
      </c>
      <c r="B341" s="74">
        <f t="shared" si="83"/>
        <v>0</v>
      </c>
      <c r="C341" s="75">
        <f t="shared" si="84"/>
        <v>0</v>
      </c>
      <c r="D341" s="75">
        <f t="shared" si="85"/>
        <v>159.28389816204339</v>
      </c>
      <c r="E341" s="54">
        <f t="shared" si="89"/>
        <v>159.28389816204339</v>
      </c>
      <c r="F341" s="76">
        <f t="shared" si="102"/>
        <v>47187.185117206565</v>
      </c>
      <c r="G341" s="77">
        <f t="shared" si="101"/>
        <v>325.0289117714949</v>
      </c>
      <c r="H341" s="79">
        <f t="shared" si="90"/>
        <v>88082.835090075343</v>
      </c>
      <c r="I341" s="78">
        <f t="shared" si="86"/>
        <v>165.74501360945152</v>
      </c>
      <c r="J341" s="76">
        <f t="shared" si="91"/>
        <v>55318.472222222219</v>
      </c>
      <c r="K341" s="80">
        <f t="shared" si="87"/>
        <v>106.18926544136225</v>
      </c>
      <c r="L341" s="78">
        <f t="shared" si="92"/>
        <v>6.8111585332906976</v>
      </c>
      <c r="M341" s="59">
        <f t="shared" si="88"/>
        <v>27443.599179323617</v>
      </c>
      <c r="N341" s="80">
        <f t="shared" si="93"/>
        <v>82762.071401545836</v>
      </c>
      <c r="O341" s="54">
        <f t="shared" si="94"/>
        <v>35153.281683275534</v>
      </c>
      <c r="P341" s="54">
        <f t="shared" si="95"/>
        <v>3335.949889999999</v>
      </c>
      <c r="Q341" s="54">
        <f t="shared" si="96"/>
        <v>552917.05991849815</v>
      </c>
      <c r="R341" s="54">
        <f t="shared" si="97"/>
        <v>234852.13486863571</v>
      </c>
      <c r="S341" s="54">
        <f t="shared" si="98"/>
        <v>470154.98851695232</v>
      </c>
      <c r="T341" s="81">
        <f t="shared" si="99"/>
        <v>199698.85318536017</v>
      </c>
      <c r="U341" s="82">
        <f t="shared" si="100"/>
        <v>2044</v>
      </c>
      <c r="V341" s="414">
        <v>22.5833333333333</v>
      </c>
      <c r="W341" s="185"/>
      <c r="X341" s="185"/>
    </row>
    <row r="342" spans="1:24" s="113" customFormat="1" x14ac:dyDescent="0.2">
      <c r="A342" s="73">
        <v>272</v>
      </c>
      <c r="B342" s="74">
        <f t="shared" si="83"/>
        <v>0</v>
      </c>
      <c r="C342" s="75">
        <f t="shared" si="84"/>
        <v>0</v>
      </c>
      <c r="D342" s="75">
        <f t="shared" si="85"/>
        <v>159.28389816204339</v>
      </c>
      <c r="E342" s="54">
        <f t="shared" si="89"/>
        <v>159.28389816204339</v>
      </c>
      <c r="F342" s="76">
        <f t="shared" si="102"/>
        <v>47346.46901536861</v>
      </c>
      <c r="G342" s="77">
        <f t="shared" si="101"/>
        <v>325.0289117714949</v>
      </c>
      <c r="H342" s="79">
        <f t="shared" si="90"/>
        <v>88407.864001846843</v>
      </c>
      <c r="I342" s="78">
        <f t="shared" si="86"/>
        <v>165.74501360945152</v>
      </c>
      <c r="J342" s="76">
        <f t="shared" si="91"/>
        <v>55318.472222222219</v>
      </c>
      <c r="K342" s="80">
        <f t="shared" si="87"/>
        <v>106.18926544136225</v>
      </c>
      <c r="L342" s="78">
        <f t="shared" si="92"/>
        <v>6.8111585332906976</v>
      </c>
      <c r="M342" s="59">
        <f t="shared" si="88"/>
        <v>27443.599179323617</v>
      </c>
      <c r="N342" s="80">
        <f t="shared" si="93"/>
        <v>82762.071401545836</v>
      </c>
      <c r="O342" s="54">
        <f t="shared" si="94"/>
        <v>35051.049455696404</v>
      </c>
      <c r="P342" s="54">
        <f t="shared" si="95"/>
        <v>3342.996830333333</v>
      </c>
      <c r="Q342" s="54">
        <f t="shared" si="96"/>
        <v>554085.05513995152</v>
      </c>
      <c r="R342" s="54">
        <f t="shared" si="97"/>
        <v>234663.80603434195</v>
      </c>
      <c r="S342" s="54">
        <f t="shared" si="98"/>
        <v>471322.98373840569</v>
      </c>
      <c r="T342" s="81">
        <f t="shared" si="99"/>
        <v>199612.75657864555</v>
      </c>
      <c r="U342" s="82">
        <f t="shared" si="100"/>
        <v>2044</v>
      </c>
      <c r="V342" s="414">
        <v>22.6666666666666</v>
      </c>
      <c r="W342" s="185"/>
      <c r="X342" s="185"/>
    </row>
    <row r="343" spans="1:24" s="113" customFormat="1" x14ac:dyDescent="0.2">
      <c r="A343" s="73">
        <v>273</v>
      </c>
      <c r="B343" s="74">
        <f t="shared" si="83"/>
        <v>0</v>
      </c>
      <c r="C343" s="75">
        <f t="shared" si="84"/>
        <v>0</v>
      </c>
      <c r="D343" s="75">
        <f t="shared" si="85"/>
        <v>159.28389816204339</v>
      </c>
      <c r="E343" s="54">
        <f t="shared" si="89"/>
        <v>159.28389816204339</v>
      </c>
      <c r="F343" s="76">
        <f t="shared" si="102"/>
        <v>47505.752913530654</v>
      </c>
      <c r="G343" s="77">
        <f t="shared" si="101"/>
        <v>325.0289117714949</v>
      </c>
      <c r="H343" s="79">
        <f t="shared" si="90"/>
        <v>88732.892913618343</v>
      </c>
      <c r="I343" s="78">
        <f t="shared" si="86"/>
        <v>165.74501360945152</v>
      </c>
      <c r="J343" s="76">
        <f t="shared" si="91"/>
        <v>55318.472222222219</v>
      </c>
      <c r="K343" s="80">
        <f t="shared" si="87"/>
        <v>106.18926544136225</v>
      </c>
      <c r="L343" s="78">
        <f t="shared" si="92"/>
        <v>6.8111585332906976</v>
      </c>
      <c r="M343" s="59">
        <f t="shared" si="88"/>
        <v>27443.599179323617</v>
      </c>
      <c r="N343" s="80">
        <f t="shared" si="93"/>
        <v>82762.071401545836</v>
      </c>
      <c r="O343" s="54">
        <f t="shared" si="94"/>
        <v>34949.114538293063</v>
      </c>
      <c r="P343" s="54">
        <f t="shared" si="95"/>
        <v>3350.0437706666658</v>
      </c>
      <c r="Q343" s="54">
        <f t="shared" si="96"/>
        <v>555253.05036140478</v>
      </c>
      <c r="R343" s="54">
        <f t="shared" si="97"/>
        <v>234474.58631943908</v>
      </c>
      <c r="S343" s="54">
        <f t="shared" si="98"/>
        <v>472490.97895985894</v>
      </c>
      <c r="T343" s="81">
        <f t="shared" si="99"/>
        <v>199525.47178114604</v>
      </c>
      <c r="U343" s="82">
        <f t="shared" si="100"/>
        <v>2044</v>
      </c>
      <c r="V343" s="414">
        <v>22.75</v>
      </c>
      <c r="W343" s="185"/>
      <c r="X343" s="185"/>
    </row>
    <row r="344" spans="1:24" s="113" customFormat="1" x14ac:dyDescent="0.2">
      <c r="A344" s="73">
        <v>274</v>
      </c>
      <c r="B344" s="74">
        <f t="shared" si="83"/>
        <v>0</v>
      </c>
      <c r="C344" s="75">
        <f t="shared" si="84"/>
        <v>0</v>
      </c>
      <c r="D344" s="75">
        <f t="shared" si="85"/>
        <v>159.28389816204339</v>
      </c>
      <c r="E344" s="54">
        <f t="shared" si="89"/>
        <v>159.28389816204339</v>
      </c>
      <c r="F344" s="76">
        <f t="shared" si="102"/>
        <v>47665.036811692698</v>
      </c>
      <c r="G344" s="77">
        <f t="shared" si="101"/>
        <v>325.0289117714949</v>
      </c>
      <c r="H344" s="79">
        <f t="shared" si="90"/>
        <v>89057.921825389843</v>
      </c>
      <c r="I344" s="78">
        <f t="shared" si="86"/>
        <v>165.74501360945152</v>
      </c>
      <c r="J344" s="76">
        <f t="shared" si="91"/>
        <v>55318.472222222219</v>
      </c>
      <c r="K344" s="80">
        <f t="shared" si="87"/>
        <v>106.18926544136225</v>
      </c>
      <c r="L344" s="78">
        <f t="shared" si="92"/>
        <v>6.8111585332906976</v>
      </c>
      <c r="M344" s="59">
        <f t="shared" si="88"/>
        <v>27443.599179323617</v>
      </c>
      <c r="N344" s="80">
        <f t="shared" si="93"/>
        <v>82762.071401545836</v>
      </c>
      <c r="O344" s="54">
        <f t="shared" si="94"/>
        <v>34847.476066432631</v>
      </c>
      <c r="P344" s="54">
        <f t="shared" si="95"/>
        <v>3357.0907109999994</v>
      </c>
      <c r="Q344" s="54">
        <f t="shared" si="96"/>
        <v>556421.04558285815</v>
      </c>
      <c r="R344" s="54">
        <f t="shared" si="97"/>
        <v>234284.48249841537</v>
      </c>
      <c r="S344" s="54">
        <f t="shared" si="98"/>
        <v>473658.97418131231</v>
      </c>
      <c r="T344" s="81">
        <f t="shared" si="99"/>
        <v>199437.00643198274</v>
      </c>
      <c r="U344" s="82">
        <f t="shared" si="100"/>
        <v>2044</v>
      </c>
      <c r="V344" s="414">
        <v>22.8333333333333</v>
      </c>
      <c r="W344" s="185"/>
      <c r="X344" s="185"/>
    </row>
    <row r="345" spans="1:24" s="113" customFormat="1" x14ac:dyDescent="0.2">
      <c r="A345" s="73">
        <v>275</v>
      </c>
      <c r="B345" s="74">
        <f t="shared" si="83"/>
        <v>0</v>
      </c>
      <c r="C345" s="75">
        <f t="shared" si="84"/>
        <v>0</v>
      </c>
      <c r="D345" s="75">
        <f t="shared" si="85"/>
        <v>159.28389816204339</v>
      </c>
      <c r="E345" s="54">
        <f t="shared" si="89"/>
        <v>159.28389816204339</v>
      </c>
      <c r="F345" s="76">
        <f t="shared" si="102"/>
        <v>47824.320709854743</v>
      </c>
      <c r="G345" s="77">
        <f t="shared" si="101"/>
        <v>325.0289117714949</v>
      </c>
      <c r="H345" s="79">
        <f t="shared" si="90"/>
        <v>89382.950737161344</v>
      </c>
      <c r="I345" s="78">
        <f t="shared" si="86"/>
        <v>165.74501360945152</v>
      </c>
      <c r="J345" s="76">
        <f t="shared" si="91"/>
        <v>55318.472222222219</v>
      </c>
      <c r="K345" s="80">
        <f t="shared" si="87"/>
        <v>106.18926544136225</v>
      </c>
      <c r="L345" s="78">
        <f t="shared" si="92"/>
        <v>6.8111585332906976</v>
      </c>
      <c r="M345" s="59">
        <f t="shared" si="88"/>
        <v>27443.599179323617</v>
      </c>
      <c r="N345" s="80">
        <f t="shared" si="93"/>
        <v>82762.071401545836</v>
      </c>
      <c r="O345" s="54">
        <f t="shared" si="94"/>
        <v>34746.133177996802</v>
      </c>
      <c r="P345" s="54">
        <f t="shared" si="95"/>
        <v>3364.1376513333325</v>
      </c>
      <c r="Q345" s="54">
        <f t="shared" si="96"/>
        <v>557589.04080431152</v>
      </c>
      <c r="R345" s="54">
        <f t="shared" si="97"/>
        <v>234093.50131389091</v>
      </c>
      <c r="S345" s="54">
        <f t="shared" si="98"/>
        <v>474826.96940276568</v>
      </c>
      <c r="T345" s="81">
        <f t="shared" si="99"/>
        <v>199347.3681358941</v>
      </c>
      <c r="U345" s="82">
        <f t="shared" si="100"/>
        <v>2044</v>
      </c>
      <c r="V345" s="414">
        <v>22.9166666666666</v>
      </c>
      <c r="W345" s="185"/>
      <c r="X345" s="185"/>
    </row>
    <row r="346" spans="1:24" s="113" customFormat="1" x14ac:dyDescent="0.2">
      <c r="A346" s="73">
        <v>276</v>
      </c>
      <c r="B346" s="74">
        <f t="shared" si="83"/>
        <v>0</v>
      </c>
      <c r="C346" s="75">
        <f t="shared" si="84"/>
        <v>0</v>
      </c>
      <c r="D346" s="75">
        <f t="shared" si="85"/>
        <v>159.28389816204339</v>
      </c>
      <c r="E346" s="54">
        <f t="shared" si="89"/>
        <v>159.28389816204339</v>
      </c>
      <c r="F346" s="76">
        <f t="shared" si="102"/>
        <v>47983.604608016787</v>
      </c>
      <c r="G346" s="77">
        <f t="shared" si="101"/>
        <v>325.0289117714949</v>
      </c>
      <c r="H346" s="79">
        <f t="shared" si="90"/>
        <v>89707.979648932844</v>
      </c>
      <c r="I346" s="78">
        <f t="shared" si="86"/>
        <v>165.74501360945152</v>
      </c>
      <c r="J346" s="76">
        <f t="shared" si="91"/>
        <v>55318.472222222219</v>
      </c>
      <c r="K346" s="80">
        <f t="shared" si="87"/>
        <v>106.18926544136225</v>
      </c>
      <c r="L346" s="78">
        <f t="shared" si="92"/>
        <v>6.8111585332906976</v>
      </c>
      <c r="M346" s="59">
        <f t="shared" si="88"/>
        <v>27443.599179323617</v>
      </c>
      <c r="N346" s="80">
        <f t="shared" si="93"/>
        <v>82762.071401545836</v>
      </c>
      <c r="O346" s="54">
        <f t="shared" si="94"/>
        <v>34645.085013374453</v>
      </c>
      <c r="P346" s="54">
        <f t="shared" si="95"/>
        <v>3371.1845916666657</v>
      </c>
      <c r="Q346" s="54">
        <f t="shared" si="96"/>
        <v>558757.03602576477</v>
      </c>
      <c r="R346" s="54">
        <f t="shared" si="97"/>
        <v>233901.64947674546</v>
      </c>
      <c r="S346" s="54">
        <f t="shared" si="98"/>
        <v>475994.96462421893</v>
      </c>
      <c r="T346" s="81">
        <f t="shared" si="99"/>
        <v>199256.564463371</v>
      </c>
      <c r="U346" s="82">
        <f t="shared" si="100"/>
        <v>2044</v>
      </c>
      <c r="V346" s="414">
        <v>23</v>
      </c>
      <c r="W346" s="185"/>
      <c r="X346" s="185"/>
    </row>
    <row r="347" spans="1:24" s="113" customFormat="1" x14ac:dyDescent="0.2">
      <c r="A347" s="73">
        <v>277</v>
      </c>
      <c r="B347" s="74">
        <f t="shared" si="83"/>
        <v>0</v>
      </c>
      <c r="C347" s="75">
        <f t="shared" si="84"/>
        <v>0</v>
      </c>
      <c r="D347" s="75">
        <f t="shared" si="85"/>
        <v>159.28389816204339</v>
      </c>
      <c r="E347" s="54">
        <f t="shared" si="89"/>
        <v>159.28389816204339</v>
      </c>
      <c r="F347" s="76">
        <f t="shared" si="102"/>
        <v>48142.888506178831</v>
      </c>
      <c r="G347" s="77">
        <f t="shared" si="101"/>
        <v>325.0289117714949</v>
      </c>
      <c r="H347" s="79">
        <f t="shared" si="90"/>
        <v>90033.008560704344</v>
      </c>
      <c r="I347" s="78">
        <f t="shared" si="86"/>
        <v>165.74501360945152</v>
      </c>
      <c r="J347" s="76">
        <f t="shared" si="91"/>
        <v>55318.472222222219</v>
      </c>
      <c r="K347" s="80">
        <f t="shared" si="87"/>
        <v>106.18926544136225</v>
      </c>
      <c r="L347" s="78">
        <f t="shared" si="92"/>
        <v>6.8111585332906976</v>
      </c>
      <c r="M347" s="59">
        <f t="shared" si="88"/>
        <v>27443.599179323617</v>
      </c>
      <c r="N347" s="80">
        <f t="shared" si="93"/>
        <v>82762.071401545836</v>
      </c>
      <c r="O347" s="54">
        <f t="shared" si="94"/>
        <v>34544.330715454395</v>
      </c>
      <c r="P347" s="54">
        <f t="shared" si="95"/>
        <v>3378.2315319999993</v>
      </c>
      <c r="Q347" s="54">
        <f t="shared" si="96"/>
        <v>559925.03124721814</v>
      </c>
      <c r="R347" s="54">
        <f t="shared" si="97"/>
        <v>233708.93366624656</v>
      </c>
      <c r="S347" s="54">
        <f t="shared" si="98"/>
        <v>477162.9598456723</v>
      </c>
      <c r="T347" s="81">
        <f t="shared" si="99"/>
        <v>199164.60295079218</v>
      </c>
      <c r="U347" s="376">
        <f t="shared" si="100"/>
        <v>2045</v>
      </c>
      <c r="V347" s="414">
        <v>23.0833333333333</v>
      </c>
      <c r="W347" s="185"/>
      <c r="X347" s="185"/>
    </row>
    <row r="348" spans="1:24" s="113" customFormat="1" x14ac:dyDescent="0.2">
      <c r="A348" s="73">
        <v>278</v>
      </c>
      <c r="B348" s="74">
        <f t="shared" si="83"/>
        <v>0</v>
      </c>
      <c r="C348" s="75">
        <f t="shared" si="84"/>
        <v>0</v>
      </c>
      <c r="D348" s="75">
        <f t="shared" si="85"/>
        <v>159.28389816204339</v>
      </c>
      <c r="E348" s="54">
        <f t="shared" si="89"/>
        <v>159.28389816204339</v>
      </c>
      <c r="F348" s="76">
        <f t="shared" si="102"/>
        <v>48302.172404340876</v>
      </c>
      <c r="G348" s="77">
        <f t="shared" si="101"/>
        <v>325.0289117714949</v>
      </c>
      <c r="H348" s="79">
        <f t="shared" si="90"/>
        <v>90358.037472475844</v>
      </c>
      <c r="I348" s="78">
        <f t="shared" si="86"/>
        <v>165.74501360945152</v>
      </c>
      <c r="J348" s="76">
        <f t="shared" si="91"/>
        <v>55318.472222222219</v>
      </c>
      <c r="K348" s="80">
        <f t="shared" si="87"/>
        <v>106.18926544136225</v>
      </c>
      <c r="L348" s="78">
        <f t="shared" si="92"/>
        <v>6.8111585332906976</v>
      </c>
      <c r="M348" s="59">
        <f t="shared" si="88"/>
        <v>27443.599179323617</v>
      </c>
      <c r="N348" s="80">
        <f t="shared" si="93"/>
        <v>82762.071401545836</v>
      </c>
      <c r="O348" s="54">
        <f t="shared" si="94"/>
        <v>34443.869429618004</v>
      </c>
      <c r="P348" s="54">
        <f t="shared" si="95"/>
        <v>3385.278472333333</v>
      </c>
      <c r="Q348" s="54">
        <f t="shared" si="96"/>
        <v>561093.02646867151</v>
      </c>
      <c r="R348" s="54">
        <f t="shared" si="97"/>
        <v>233515.36053017568</v>
      </c>
      <c r="S348" s="54">
        <f t="shared" si="98"/>
        <v>478330.95506712567</v>
      </c>
      <c r="T348" s="81">
        <f t="shared" si="99"/>
        <v>199071.4911005577</v>
      </c>
      <c r="U348" s="82">
        <f t="shared" si="100"/>
        <v>2045</v>
      </c>
      <c r="V348" s="414">
        <v>23.1666666666666</v>
      </c>
      <c r="W348" s="185"/>
      <c r="X348" s="185"/>
    </row>
    <row r="349" spans="1:24" s="113" customFormat="1" x14ac:dyDescent="0.2">
      <c r="A349" s="73">
        <v>279</v>
      </c>
      <c r="B349" s="74">
        <f t="shared" si="83"/>
        <v>0</v>
      </c>
      <c r="C349" s="75">
        <f t="shared" si="84"/>
        <v>0</v>
      </c>
      <c r="D349" s="75">
        <f t="shared" si="85"/>
        <v>159.28389816204339</v>
      </c>
      <c r="E349" s="54">
        <f t="shared" si="89"/>
        <v>159.28389816204339</v>
      </c>
      <c r="F349" s="76">
        <f t="shared" si="102"/>
        <v>48461.45630250292</v>
      </c>
      <c r="G349" s="77">
        <f t="shared" si="101"/>
        <v>325.0289117714949</v>
      </c>
      <c r="H349" s="79">
        <f t="shared" si="90"/>
        <v>90683.066384247344</v>
      </c>
      <c r="I349" s="78">
        <f t="shared" si="86"/>
        <v>165.74501360945152</v>
      </c>
      <c r="J349" s="76">
        <f t="shared" si="91"/>
        <v>55318.472222222219</v>
      </c>
      <c r="K349" s="80">
        <f t="shared" si="87"/>
        <v>106.18926544136225</v>
      </c>
      <c r="L349" s="78">
        <f t="shared" si="92"/>
        <v>6.8111585332906976</v>
      </c>
      <c r="M349" s="59">
        <f t="shared" si="88"/>
        <v>27443.599179323617</v>
      </c>
      <c r="N349" s="80">
        <f t="shared" si="93"/>
        <v>82762.071401545836</v>
      </c>
      <c r="O349" s="54">
        <f t="shared" si="94"/>
        <v>34343.700303732119</v>
      </c>
      <c r="P349" s="54">
        <f t="shared" si="95"/>
        <v>3392.3254126666661</v>
      </c>
      <c r="Q349" s="54">
        <f t="shared" si="96"/>
        <v>562261.02169012476</v>
      </c>
      <c r="R349" s="54">
        <f t="shared" si="97"/>
        <v>233320.93668495581</v>
      </c>
      <c r="S349" s="54">
        <f t="shared" si="98"/>
        <v>479498.95028857893</v>
      </c>
      <c r="T349" s="81">
        <f t="shared" si="99"/>
        <v>198977.23638122369</v>
      </c>
      <c r="U349" s="82">
        <f t="shared" si="100"/>
        <v>2045</v>
      </c>
      <c r="V349" s="414">
        <v>23.25</v>
      </c>
      <c r="W349" s="185"/>
      <c r="X349" s="185"/>
    </row>
    <row r="350" spans="1:24" s="113" customFormat="1" x14ac:dyDescent="0.2">
      <c r="A350" s="73">
        <v>280</v>
      </c>
      <c r="B350" s="74">
        <f t="shared" si="83"/>
        <v>0</v>
      </c>
      <c r="C350" s="75">
        <f t="shared" si="84"/>
        <v>0</v>
      </c>
      <c r="D350" s="75">
        <f t="shared" si="85"/>
        <v>159.28389816204339</v>
      </c>
      <c r="E350" s="54">
        <f t="shared" si="89"/>
        <v>159.28389816204339</v>
      </c>
      <c r="F350" s="76">
        <f t="shared" si="102"/>
        <v>48620.740200664965</v>
      </c>
      <c r="G350" s="77">
        <f t="shared" si="101"/>
        <v>325.0289117714949</v>
      </c>
      <c r="H350" s="79">
        <f t="shared" si="90"/>
        <v>91008.095296018844</v>
      </c>
      <c r="I350" s="78">
        <f t="shared" si="86"/>
        <v>165.74501360945152</v>
      </c>
      <c r="J350" s="76">
        <f t="shared" si="91"/>
        <v>55318.472222222219</v>
      </c>
      <c r="K350" s="80">
        <f t="shared" si="87"/>
        <v>106.18926544136225</v>
      </c>
      <c r="L350" s="78">
        <f t="shared" si="92"/>
        <v>6.8111585332906976</v>
      </c>
      <c r="M350" s="59">
        <f t="shared" si="88"/>
        <v>27443.599179323617</v>
      </c>
      <c r="N350" s="80">
        <f t="shared" si="93"/>
        <v>82762.071401545836</v>
      </c>
      <c r="O350" s="54">
        <f t="shared" si="94"/>
        <v>34243.822488141705</v>
      </c>
      <c r="P350" s="54">
        <f t="shared" si="95"/>
        <v>3399.3723529999988</v>
      </c>
      <c r="Q350" s="54">
        <f t="shared" si="96"/>
        <v>563429.01691157802</v>
      </c>
      <c r="R350" s="54">
        <f t="shared" si="97"/>
        <v>233125.66871577714</v>
      </c>
      <c r="S350" s="54">
        <f t="shared" si="98"/>
        <v>480666.94551003218</v>
      </c>
      <c r="T350" s="81">
        <f t="shared" si="99"/>
        <v>198881.84622763543</v>
      </c>
      <c r="U350" s="82">
        <f t="shared" si="100"/>
        <v>2045</v>
      </c>
      <c r="V350" s="414">
        <v>23.3333333333333</v>
      </c>
      <c r="W350" s="185"/>
      <c r="X350" s="185"/>
    </row>
    <row r="351" spans="1:24" s="113" customFormat="1" x14ac:dyDescent="0.2">
      <c r="A351" s="73">
        <v>281</v>
      </c>
      <c r="B351" s="74">
        <f t="shared" si="83"/>
        <v>0</v>
      </c>
      <c r="C351" s="75">
        <f t="shared" si="84"/>
        <v>0</v>
      </c>
      <c r="D351" s="75">
        <f t="shared" si="85"/>
        <v>159.28389816204339</v>
      </c>
      <c r="E351" s="54">
        <f t="shared" si="89"/>
        <v>159.28389816204339</v>
      </c>
      <c r="F351" s="76">
        <f t="shared" si="102"/>
        <v>48780.024098827009</v>
      </c>
      <c r="G351" s="77">
        <f t="shared" si="101"/>
        <v>325.0289117714949</v>
      </c>
      <c r="H351" s="79">
        <f t="shared" si="90"/>
        <v>91333.124207790344</v>
      </c>
      <c r="I351" s="78">
        <f t="shared" si="86"/>
        <v>165.74501360945152</v>
      </c>
      <c r="J351" s="76">
        <f t="shared" si="91"/>
        <v>55318.472222222219</v>
      </c>
      <c r="K351" s="80">
        <f t="shared" si="87"/>
        <v>106.18926544136225</v>
      </c>
      <c r="L351" s="78">
        <f t="shared" si="92"/>
        <v>6.8111585332906976</v>
      </c>
      <c r="M351" s="59">
        <f t="shared" si="88"/>
        <v>27443.599179323617</v>
      </c>
      <c r="N351" s="80">
        <f t="shared" si="93"/>
        <v>82762.071401545836</v>
      </c>
      <c r="O351" s="54">
        <f t="shared" si="94"/>
        <v>34144.235135662697</v>
      </c>
      <c r="P351" s="54">
        <f t="shared" si="95"/>
        <v>3406.4192933333329</v>
      </c>
      <c r="Q351" s="54">
        <f t="shared" si="96"/>
        <v>564597.0121330315</v>
      </c>
      <c r="R351" s="54">
        <f t="shared" si="97"/>
        <v>232929.56317672302</v>
      </c>
      <c r="S351" s="54">
        <f t="shared" si="98"/>
        <v>481834.94073148567</v>
      </c>
      <c r="T351" s="81">
        <f t="shared" si="99"/>
        <v>198785.3280410603</v>
      </c>
      <c r="U351" s="82">
        <f t="shared" si="100"/>
        <v>2045</v>
      </c>
      <c r="V351" s="414">
        <v>23.4166666666666</v>
      </c>
      <c r="W351" s="185"/>
      <c r="X351" s="185"/>
    </row>
    <row r="352" spans="1:24" s="113" customFormat="1" x14ac:dyDescent="0.2">
      <c r="A352" s="73">
        <v>282</v>
      </c>
      <c r="B352" s="74">
        <f t="shared" si="83"/>
        <v>0</v>
      </c>
      <c r="C352" s="75">
        <f t="shared" si="84"/>
        <v>0</v>
      </c>
      <c r="D352" s="75">
        <f t="shared" si="85"/>
        <v>159.28389816204339</v>
      </c>
      <c r="E352" s="54">
        <f t="shared" si="89"/>
        <v>159.28389816204339</v>
      </c>
      <c r="F352" s="76">
        <f t="shared" si="102"/>
        <v>48939.307996989053</v>
      </c>
      <c r="G352" s="77">
        <f t="shared" si="101"/>
        <v>325.0289117714949</v>
      </c>
      <c r="H352" s="79">
        <f t="shared" si="90"/>
        <v>91658.153119561845</v>
      </c>
      <c r="I352" s="78">
        <f t="shared" si="86"/>
        <v>165.74501360945152</v>
      </c>
      <c r="J352" s="76">
        <f t="shared" si="91"/>
        <v>55318.472222222219</v>
      </c>
      <c r="K352" s="80">
        <f t="shared" si="87"/>
        <v>106.18926544136225</v>
      </c>
      <c r="L352" s="78">
        <f t="shared" si="92"/>
        <v>6.8111585332906976</v>
      </c>
      <c r="M352" s="59">
        <f t="shared" si="88"/>
        <v>27443.599179323617</v>
      </c>
      <c r="N352" s="80">
        <f t="shared" si="93"/>
        <v>82762.071401545836</v>
      </c>
      <c r="O352" s="54">
        <f t="shared" si="94"/>
        <v>34044.937401574774</v>
      </c>
      <c r="P352" s="54">
        <f t="shared" si="95"/>
        <v>3413.4662336666665</v>
      </c>
      <c r="Q352" s="54">
        <f t="shared" si="96"/>
        <v>565765.00735448487</v>
      </c>
      <c r="R352" s="54">
        <f t="shared" si="97"/>
        <v>232732.62659089465</v>
      </c>
      <c r="S352" s="54">
        <f t="shared" si="98"/>
        <v>483002.93595293903</v>
      </c>
      <c r="T352" s="81">
        <f t="shared" si="99"/>
        <v>198687.68918931988</v>
      </c>
      <c r="U352" s="82">
        <f t="shared" si="100"/>
        <v>2045</v>
      </c>
      <c r="V352" s="414">
        <v>23.5</v>
      </c>
      <c r="W352" s="185"/>
      <c r="X352" s="185"/>
    </row>
    <row r="353" spans="1:24" s="113" customFormat="1" x14ac:dyDescent="0.2">
      <c r="A353" s="73">
        <v>283</v>
      </c>
      <c r="B353" s="74">
        <f t="shared" si="83"/>
        <v>0</v>
      </c>
      <c r="C353" s="75">
        <f t="shared" si="84"/>
        <v>0</v>
      </c>
      <c r="D353" s="75">
        <f t="shared" si="85"/>
        <v>159.28389816204339</v>
      </c>
      <c r="E353" s="54">
        <f t="shared" si="89"/>
        <v>159.28389816204339</v>
      </c>
      <c r="F353" s="76">
        <f t="shared" si="102"/>
        <v>49098.591895151098</v>
      </c>
      <c r="G353" s="77">
        <f t="shared" si="101"/>
        <v>325.0289117714949</v>
      </c>
      <c r="H353" s="79">
        <f t="shared" si="90"/>
        <v>91983.182031333345</v>
      </c>
      <c r="I353" s="78">
        <f t="shared" si="86"/>
        <v>165.74501360945152</v>
      </c>
      <c r="J353" s="76">
        <f t="shared" si="91"/>
        <v>55318.472222222219</v>
      </c>
      <c r="K353" s="80">
        <f t="shared" si="87"/>
        <v>106.18926544136225</v>
      </c>
      <c r="L353" s="78">
        <f t="shared" si="92"/>
        <v>6.8111585332906976</v>
      </c>
      <c r="M353" s="59">
        <f t="shared" si="88"/>
        <v>27443.599179323617</v>
      </c>
      <c r="N353" s="80">
        <f t="shared" si="93"/>
        <v>82762.071401545836</v>
      </c>
      <c r="O353" s="54">
        <f t="shared" si="94"/>
        <v>33945.928443614226</v>
      </c>
      <c r="P353" s="54">
        <f t="shared" si="95"/>
        <v>3420.5131739999993</v>
      </c>
      <c r="Q353" s="54">
        <f t="shared" si="96"/>
        <v>566933.00257593812</v>
      </c>
      <c r="R353" s="54">
        <f t="shared" si="97"/>
        <v>232534.86545053651</v>
      </c>
      <c r="S353" s="54">
        <f t="shared" si="98"/>
        <v>484170.93117439229</v>
      </c>
      <c r="T353" s="81">
        <f t="shared" si="99"/>
        <v>198588.93700692229</v>
      </c>
      <c r="U353" s="82">
        <f t="shared" si="100"/>
        <v>2045</v>
      </c>
      <c r="V353" s="414">
        <v>23.5833333333333</v>
      </c>
      <c r="W353" s="185"/>
      <c r="X353" s="185"/>
    </row>
    <row r="354" spans="1:24" s="113" customFormat="1" x14ac:dyDescent="0.2">
      <c r="A354" s="73">
        <v>284</v>
      </c>
      <c r="B354" s="74">
        <f t="shared" si="83"/>
        <v>0</v>
      </c>
      <c r="C354" s="75">
        <f t="shared" si="84"/>
        <v>0</v>
      </c>
      <c r="D354" s="75">
        <f t="shared" si="85"/>
        <v>159.28389816204339</v>
      </c>
      <c r="E354" s="54">
        <f t="shared" si="89"/>
        <v>159.28389816204339</v>
      </c>
      <c r="F354" s="76">
        <f t="shared" si="102"/>
        <v>49257.875793313142</v>
      </c>
      <c r="G354" s="77">
        <f t="shared" si="101"/>
        <v>325.0289117714949</v>
      </c>
      <c r="H354" s="79">
        <f t="shared" si="90"/>
        <v>92308.210943104845</v>
      </c>
      <c r="I354" s="78">
        <f t="shared" si="86"/>
        <v>165.74501360945152</v>
      </c>
      <c r="J354" s="76">
        <f t="shared" si="91"/>
        <v>55318.472222222219</v>
      </c>
      <c r="K354" s="80">
        <f t="shared" si="87"/>
        <v>106.18926544136225</v>
      </c>
      <c r="L354" s="78">
        <f t="shared" si="92"/>
        <v>6.8111585332906976</v>
      </c>
      <c r="M354" s="59">
        <f t="shared" si="88"/>
        <v>27443.599179323617</v>
      </c>
      <c r="N354" s="80">
        <f t="shared" si="93"/>
        <v>82762.071401545836</v>
      </c>
      <c r="O354" s="54">
        <f t="shared" si="94"/>
        <v>33847.207421966814</v>
      </c>
      <c r="P354" s="54">
        <f t="shared" si="95"/>
        <v>3427.5601143333324</v>
      </c>
      <c r="Q354" s="54">
        <f t="shared" si="96"/>
        <v>568100.99779739138</v>
      </c>
      <c r="R354" s="54">
        <f t="shared" si="97"/>
        <v>232336.28621716038</v>
      </c>
      <c r="S354" s="54">
        <f t="shared" si="98"/>
        <v>485338.92639584554</v>
      </c>
      <c r="T354" s="81">
        <f t="shared" si="99"/>
        <v>198489.07879519358</v>
      </c>
      <c r="U354" s="82">
        <f t="shared" si="100"/>
        <v>2045</v>
      </c>
      <c r="V354" s="414">
        <v>23.6666666666666</v>
      </c>
      <c r="W354" s="185"/>
      <c r="X354" s="185"/>
    </row>
    <row r="355" spans="1:24" s="113" customFormat="1" x14ac:dyDescent="0.2">
      <c r="A355" s="73">
        <v>285</v>
      </c>
      <c r="B355" s="74">
        <f t="shared" si="83"/>
        <v>0</v>
      </c>
      <c r="C355" s="75">
        <f t="shared" si="84"/>
        <v>0</v>
      </c>
      <c r="D355" s="75">
        <f t="shared" si="85"/>
        <v>159.28389816204339</v>
      </c>
      <c r="E355" s="54">
        <f t="shared" si="89"/>
        <v>159.28389816204339</v>
      </c>
      <c r="F355" s="76">
        <f t="shared" si="102"/>
        <v>49417.159691475186</v>
      </c>
      <c r="G355" s="77">
        <f t="shared" si="101"/>
        <v>325.0289117714949</v>
      </c>
      <c r="H355" s="79">
        <f t="shared" si="90"/>
        <v>92633.239854876345</v>
      </c>
      <c r="I355" s="78">
        <f t="shared" si="86"/>
        <v>165.74501360945152</v>
      </c>
      <c r="J355" s="76">
        <f t="shared" si="91"/>
        <v>55318.472222222219</v>
      </c>
      <c r="K355" s="80">
        <f t="shared" si="87"/>
        <v>106.18926544136225</v>
      </c>
      <c r="L355" s="78">
        <f t="shared" si="92"/>
        <v>6.8111585332906976</v>
      </c>
      <c r="M355" s="59">
        <f t="shared" si="88"/>
        <v>27443.599179323617</v>
      </c>
      <c r="N355" s="80">
        <f t="shared" si="93"/>
        <v>82762.071401545836</v>
      </c>
      <c r="O355" s="54">
        <f t="shared" si="94"/>
        <v>33748.773499260642</v>
      </c>
      <c r="P355" s="54">
        <f t="shared" si="95"/>
        <v>3434.607054666666</v>
      </c>
      <c r="Q355" s="54">
        <f t="shared" si="96"/>
        <v>569268.99301884475</v>
      </c>
      <c r="R355" s="54">
        <f t="shared" si="97"/>
        <v>232136.89532166944</v>
      </c>
      <c r="S355" s="54">
        <f t="shared" si="98"/>
        <v>486506.92161729891</v>
      </c>
      <c r="T355" s="81">
        <f t="shared" si="99"/>
        <v>198388.12182240881</v>
      </c>
      <c r="U355" s="82">
        <f t="shared" si="100"/>
        <v>2045</v>
      </c>
      <c r="V355" s="414">
        <v>23.75</v>
      </c>
      <c r="W355" s="185"/>
      <c r="X355" s="185"/>
    </row>
    <row r="356" spans="1:24" s="113" customFormat="1" x14ac:dyDescent="0.2">
      <c r="A356" s="73">
        <v>286</v>
      </c>
      <c r="B356" s="74">
        <f t="shared" si="83"/>
        <v>0</v>
      </c>
      <c r="C356" s="75">
        <f t="shared" si="84"/>
        <v>0</v>
      </c>
      <c r="D356" s="75">
        <f t="shared" si="85"/>
        <v>159.28389816204339</v>
      </c>
      <c r="E356" s="54">
        <f t="shared" si="89"/>
        <v>159.28389816204339</v>
      </c>
      <c r="F356" s="76">
        <f t="shared" si="102"/>
        <v>49576.443589637231</v>
      </c>
      <c r="G356" s="77">
        <f t="shared" si="101"/>
        <v>325.0289117714949</v>
      </c>
      <c r="H356" s="79">
        <f t="shared" si="90"/>
        <v>92958.268766647845</v>
      </c>
      <c r="I356" s="78">
        <f t="shared" si="86"/>
        <v>165.74501360945152</v>
      </c>
      <c r="J356" s="76">
        <f t="shared" si="91"/>
        <v>55318.472222222219</v>
      </c>
      <c r="K356" s="80">
        <f t="shared" si="87"/>
        <v>106.18926544136225</v>
      </c>
      <c r="L356" s="78">
        <f t="shared" si="92"/>
        <v>6.8111585332906976</v>
      </c>
      <c r="M356" s="59">
        <f t="shared" si="88"/>
        <v>27443.599179323617</v>
      </c>
      <c r="N356" s="80">
        <f t="shared" si="93"/>
        <v>82762.071401545836</v>
      </c>
      <c r="O356" s="54">
        <f t="shared" si="94"/>
        <v>33650.625840559012</v>
      </c>
      <c r="P356" s="54">
        <f t="shared" si="95"/>
        <v>3441.6539949999992</v>
      </c>
      <c r="Q356" s="54">
        <f t="shared" si="96"/>
        <v>570436.98824029812</v>
      </c>
      <c r="R356" s="54">
        <f t="shared" si="97"/>
        <v>231936.69916448099</v>
      </c>
      <c r="S356" s="54">
        <f t="shared" si="98"/>
        <v>487674.91683875228</v>
      </c>
      <c r="T356" s="81">
        <f t="shared" si="99"/>
        <v>198286.07332392197</v>
      </c>
      <c r="U356" s="82">
        <f t="shared" si="100"/>
        <v>2045</v>
      </c>
      <c r="V356" s="414">
        <v>23.8333333333333</v>
      </c>
      <c r="W356" s="185"/>
      <c r="X356" s="185"/>
    </row>
    <row r="357" spans="1:24" s="113" customFormat="1" x14ac:dyDescent="0.2">
      <c r="A357" s="73">
        <v>287</v>
      </c>
      <c r="B357" s="74">
        <f t="shared" si="83"/>
        <v>0</v>
      </c>
      <c r="C357" s="75">
        <f t="shared" si="84"/>
        <v>0</v>
      </c>
      <c r="D357" s="75">
        <f t="shared" si="85"/>
        <v>159.28389816204339</v>
      </c>
      <c r="E357" s="54">
        <f t="shared" si="89"/>
        <v>159.28389816204339</v>
      </c>
      <c r="F357" s="76">
        <f t="shared" si="102"/>
        <v>49735.727487799275</v>
      </c>
      <c r="G357" s="77">
        <f t="shared" si="101"/>
        <v>325.0289117714949</v>
      </c>
      <c r="H357" s="79">
        <f t="shared" si="90"/>
        <v>93283.297678419345</v>
      </c>
      <c r="I357" s="78">
        <f t="shared" si="86"/>
        <v>165.74501360945152</v>
      </c>
      <c r="J357" s="76">
        <f t="shared" si="91"/>
        <v>55318.472222222219</v>
      </c>
      <c r="K357" s="80">
        <f t="shared" si="87"/>
        <v>106.18926544136225</v>
      </c>
      <c r="L357" s="78">
        <f t="shared" si="92"/>
        <v>6.8111585332906976</v>
      </c>
      <c r="M357" s="59">
        <f t="shared" si="88"/>
        <v>27443.599179323617</v>
      </c>
      <c r="N357" s="80">
        <f t="shared" si="93"/>
        <v>82762.071401545836</v>
      </c>
      <c r="O357" s="54">
        <f t="shared" si="94"/>
        <v>33552.763613353403</v>
      </c>
      <c r="P357" s="54">
        <f t="shared" si="95"/>
        <v>3448.7009353333328</v>
      </c>
      <c r="Q357" s="54">
        <f t="shared" si="96"/>
        <v>571604.98346175149</v>
      </c>
      <c r="R357" s="54">
        <f t="shared" si="97"/>
        <v>231735.70411565006</v>
      </c>
      <c r="S357" s="54">
        <f t="shared" si="98"/>
        <v>488842.91206020565</v>
      </c>
      <c r="T357" s="81">
        <f t="shared" si="99"/>
        <v>198182.94050229667</v>
      </c>
      <c r="U357" s="82">
        <f t="shared" si="100"/>
        <v>2045</v>
      </c>
      <c r="V357" s="414">
        <v>23.9166666666666</v>
      </c>
      <c r="W357" s="185"/>
      <c r="X357" s="185"/>
    </row>
    <row r="358" spans="1:24" s="113" customFormat="1" x14ac:dyDescent="0.2">
      <c r="A358" s="73">
        <v>288</v>
      </c>
      <c r="B358" s="74">
        <f t="shared" si="83"/>
        <v>0</v>
      </c>
      <c r="C358" s="75">
        <f t="shared" si="84"/>
        <v>0</v>
      </c>
      <c r="D358" s="75">
        <f t="shared" si="85"/>
        <v>159.28389816204339</v>
      </c>
      <c r="E358" s="54">
        <f t="shared" si="89"/>
        <v>159.28389816204339</v>
      </c>
      <c r="F358" s="76">
        <f t="shared" si="102"/>
        <v>49895.011385961319</v>
      </c>
      <c r="G358" s="77">
        <f t="shared" si="101"/>
        <v>325.0289117714949</v>
      </c>
      <c r="H358" s="79">
        <f t="shared" si="90"/>
        <v>93608.326590190845</v>
      </c>
      <c r="I358" s="78">
        <f t="shared" si="86"/>
        <v>165.74501360945152</v>
      </c>
      <c r="J358" s="76">
        <f t="shared" si="91"/>
        <v>55318.472222222219</v>
      </c>
      <c r="K358" s="80">
        <f t="shared" si="87"/>
        <v>106.18926544136225</v>
      </c>
      <c r="L358" s="78">
        <f t="shared" si="92"/>
        <v>6.8111585332906976</v>
      </c>
      <c r="M358" s="59">
        <f t="shared" si="88"/>
        <v>27443.599179323617</v>
      </c>
      <c r="N358" s="80">
        <f t="shared" si="93"/>
        <v>82762.071401545836</v>
      </c>
      <c r="O358" s="54">
        <f t="shared" si="94"/>
        <v>33455.185987556353</v>
      </c>
      <c r="P358" s="54">
        <f t="shared" si="95"/>
        <v>3455.747875666666</v>
      </c>
      <c r="Q358" s="54">
        <f t="shared" si="96"/>
        <v>572772.97868320474</v>
      </c>
      <c r="R358" s="54">
        <f t="shared" si="97"/>
        <v>231533.91651499135</v>
      </c>
      <c r="S358" s="54">
        <f t="shared" si="98"/>
        <v>490010.9072816589</v>
      </c>
      <c r="T358" s="81">
        <f t="shared" si="99"/>
        <v>198078.73052743499</v>
      </c>
      <c r="U358" s="82">
        <f t="shared" si="100"/>
        <v>2045</v>
      </c>
      <c r="V358" s="414">
        <v>24</v>
      </c>
      <c r="W358" s="185"/>
      <c r="X358" s="185"/>
    </row>
    <row r="359" spans="1:24" s="113" customFormat="1" x14ac:dyDescent="0.2">
      <c r="A359" s="73">
        <v>289</v>
      </c>
      <c r="B359" s="74">
        <f t="shared" si="83"/>
        <v>0</v>
      </c>
      <c r="C359" s="75">
        <f t="shared" si="84"/>
        <v>0</v>
      </c>
      <c r="D359" s="75">
        <f t="shared" si="85"/>
        <v>159.28389816204339</v>
      </c>
      <c r="E359" s="54">
        <f t="shared" si="89"/>
        <v>159.28389816204339</v>
      </c>
      <c r="F359" s="76">
        <f t="shared" si="102"/>
        <v>50054.295284123364</v>
      </c>
      <c r="G359" s="77">
        <f t="shared" si="101"/>
        <v>325.0289117714949</v>
      </c>
      <c r="H359" s="79">
        <f t="shared" si="90"/>
        <v>93933.355501962345</v>
      </c>
      <c r="I359" s="78">
        <f t="shared" si="86"/>
        <v>165.74501360945152</v>
      </c>
      <c r="J359" s="76">
        <f t="shared" si="91"/>
        <v>55318.472222222219</v>
      </c>
      <c r="K359" s="80">
        <f t="shared" si="87"/>
        <v>106.18926544136225</v>
      </c>
      <c r="L359" s="78">
        <f t="shared" si="92"/>
        <v>6.8111585332906976</v>
      </c>
      <c r="M359" s="59">
        <f t="shared" si="88"/>
        <v>27443.599179323617</v>
      </c>
      <c r="N359" s="80">
        <f t="shared" si="93"/>
        <v>82762.071401545836</v>
      </c>
      <c r="O359" s="54">
        <f t="shared" si="94"/>
        <v>33357.892135494505</v>
      </c>
      <c r="P359" s="54">
        <f t="shared" si="95"/>
        <v>3462.7948159999987</v>
      </c>
      <c r="Q359" s="54">
        <f t="shared" si="96"/>
        <v>573940.97390465799</v>
      </c>
      <c r="R359" s="54">
        <f t="shared" si="97"/>
        <v>231331.34267220201</v>
      </c>
      <c r="S359" s="54">
        <f t="shared" si="98"/>
        <v>491178.90250311216</v>
      </c>
      <c r="T359" s="81">
        <f t="shared" si="99"/>
        <v>197973.4505367075</v>
      </c>
      <c r="U359" s="376">
        <f t="shared" si="100"/>
        <v>2046</v>
      </c>
      <c r="V359" s="414">
        <v>24.0833333333333</v>
      </c>
      <c r="W359" s="185"/>
      <c r="X359" s="185"/>
    </row>
    <row r="360" spans="1:24" s="113" customFormat="1" x14ac:dyDescent="0.2">
      <c r="A360" s="73">
        <v>290</v>
      </c>
      <c r="B360" s="74">
        <f t="shared" si="83"/>
        <v>0</v>
      </c>
      <c r="C360" s="75">
        <f t="shared" si="84"/>
        <v>0</v>
      </c>
      <c r="D360" s="75">
        <f t="shared" si="85"/>
        <v>159.28389816204339</v>
      </c>
      <c r="E360" s="54">
        <f t="shared" si="89"/>
        <v>159.28389816204339</v>
      </c>
      <c r="F360" s="76">
        <f t="shared" si="102"/>
        <v>50213.579182285408</v>
      </c>
      <c r="G360" s="77">
        <f t="shared" si="101"/>
        <v>325.0289117714949</v>
      </c>
      <c r="H360" s="79">
        <f t="shared" si="90"/>
        <v>94258.384413733846</v>
      </c>
      <c r="I360" s="78">
        <f t="shared" si="86"/>
        <v>165.74501360945152</v>
      </c>
      <c r="J360" s="76">
        <f t="shared" si="91"/>
        <v>55318.472222222219</v>
      </c>
      <c r="K360" s="80">
        <f t="shared" si="87"/>
        <v>106.18926544136225</v>
      </c>
      <c r="L360" s="78">
        <f t="shared" si="92"/>
        <v>6.8111585332906976</v>
      </c>
      <c r="M360" s="59">
        <f t="shared" si="88"/>
        <v>27443.599179323617</v>
      </c>
      <c r="N360" s="80">
        <f t="shared" si="93"/>
        <v>82762.071401545836</v>
      </c>
      <c r="O360" s="54">
        <f t="shared" si="94"/>
        <v>33260.881231901454</v>
      </c>
      <c r="P360" s="54">
        <f t="shared" si="95"/>
        <v>3469.8417563333323</v>
      </c>
      <c r="Q360" s="54">
        <f t="shared" si="96"/>
        <v>575108.96912611136</v>
      </c>
      <c r="R360" s="54">
        <f t="shared" si="97"/>
        <v>231127.9888669822</v>
      </c>
      <c r="S360" s="54">
        <f t="shared" si="98"/>
        <v>492346.89772456553</v>
      </c>
      <c r="T360" s="81">
        <f t="shared" si="99"/>
        <v>197867.10763508073</v>
      </c>
      <c r="U360" s="82">
        <f t="shared" si="100"/>
        <v>2046</v>
      </c>
      <c r="V360" s="414">
        <v>24.1666666666666</v>
      </c>
      <c r="W360" s="185"/>
      <c r="X360" s="185"/>
    </row>
    <row r="361" spans="1:24" s="113" customFormat="1" x14ac:dyDescent="0.2">
      <c r="A361" s="73">
        <v>291</v>
      </c>
      <c r="B361" s="74">
        <f t="shared" si="83"/>
        <v>0</v>
      </c>
      <c r="C361" s="75">
        <f t="shared" si="84"/>
        <v>0</v>
      </c>
      <c r="D361" s="75">
        <f t="shared" si="85"/>
        <v>159.28389816204339</v>
      </c>
      <c r="E361" s="54">
        <f t="shared" si="89"/>
        <v>159.28389816204339</v>
      </c>
      <c r="F361" s="76">
        <f t="shared" si="102"/>
        <v>50372.863080447452</v>
      </c>
      <c r="G361" s="77">
        <f t="shared" si="101"/>
        <v>325.0289117714949</v>
      </c>
      <c r="H361" s="79">
        <f t="shared" si="90"/>
        <v>94583.413325505346</v>
      </c>
      <c r="I361" s="78">
        <f t="shared" si="86"/>
        <v>165.74501360945152</v>
      </c>
      <c r="J361" s="76">
        <f t="shared" si="91"/>
        <v>55318.472222222219</v>
      </c>
      <c r="K361" s="80">
        <f t="shared" si="87"/>
        <v>106.18926544136225</v>
      </c>
      <c r="L361" s="78">
        <f t="shared" si="92"/>
        <v>6.8111585332906976</v>
      </c>
      <c r="M361" s="59">
        <f t="shared" si="88"/>
        <v>27443.599179323617</v>
      </c>
      <c r="N361" s="80">
        <f t="shared" si="93"/>
        <v>82762.071401545836</v>
      </c>
      <c r="O361" s="54">
        <f t="shared" si="94"/>
        <v>33164.15245391088</v>
      </c>
      <c r="P361" s="54">
        <f t="shared" si="95"/>
        <v>3476.8886966666664</v>
      </c>
      <c r="Q361" s="54">
        <f t="shared" si="96"/>
        <v>576276.96434756473</v>
      </c>
      <c r="R361" s="54">
        <f t="shared" si="97"/>
        <v>230923.861349157</v>
      </c>
      <c r="S361" s="54">
        <f t="shared" si="98"/>
        <v>493514.8929460189</v>
      </c>
      <c r="T361" s="81">
        <f t="shared" si="99"/>
        <v>197759.70889524612</v>
      </c>
      <c r="U361" s="82">
        <f t="shared" si="100"/>
        <v>2046</v>
      </c>
      <c r="V361" s="414">
        <v>24.25</v>
      </c>
      <c r="W361" s="185"/>
      <c r="X361" s="185"/>
    </row>
    <row r="362" spans="1:24" s="113" customFormat="1" x14ac:dyDescent="0.2">
      <c r="A362" s="73">
        <v>292</v>
      </c>
      <c r="B362" s="74">
        <f t="shared" si="83"/>
        <v>0</v>
      </c>
      <c r="C362" s="75">
        <f t="shared" si="84"/>
        <v>0</v>
      </c>
      <c r="D362" s="75">
        <f t="shared" si="85"/>
        <v>159.28389816204339</v>
      </c>
      <c r="E362" s="54">
        <f t="shared" si="89"/>
        <v>159.28389816204339</v>
      </c>
      <c r="F362" s="76">
        <f t="shared" si="102"/>
        <v>50532.146978609497</v>
      </c>
      <c r="G362" s="77">
        <f t="shared" si="101"/>
        <v>325.0289117714949</v>
      </c>
      <c r="H362" s="79">
        <f t="shared" si="90"/>
        <v>94908.442237276846</v>
      </c>
      <c r="I362" s="78">
        <f t="shared" si="86"/>
        <v>165.74501360945152</v>
      </c>
      <c r="J362" s="76">
        <f t="shared" si="91"/>
        <v>55318.472222222219</v>
      </c>
      <c r="K362" s="80">
        <f t="shared" si="87"/>
        <v>106.18926544136225</v>
      </c>
      <c r="L362" s="78">
        <f t="shared" si="92"/>
        <v>6.8111585332906976</v>
      </c>
      <c r="M362" s="59">
        <f t="shared" si="88"/>
        <v>27443.599179323617</v>
      </c>
      <c r="N362" s="80">
        <f t="shared" si="93"/>
        <v>82762.071401545836</v>
      </c>
      <c r="O362" s="54">
        <f t="shared" si="94"/>
        <v>33067.704981049479</v>
      </c>
      <c r="P362" s="54">
        <f t="shared" si="95"/>
        <v>3483.9356369999991</v>
      </c>
      <c r="Q362" s="54">
        <f t="shared" si="96"/>
        <v>577444.95956901798</v>
      </c>
      <c r="R362" s="54">
        <f t="shared" si="97"/>
        <v>230718.96633879657</v>
      </c>
      <c r="S362" s="54">
        <f t="shared" si="98"/>
        <v>494682.88816747215</v>
      </c>
      <c r="T362" s="81">
        <f t="shared" si="99"/>
        <v>197651.26135774708</v>
      </c>
      <c r="U362" s="82">
        <f t="shared" si="100"/>
        <v>2046</v>
      </c>
      <c r="V362" s="414">
        <v>24.3333333333333</v>
      </c>
      <c r="W362" s="185"/>
      <c r="X362" s="185"/>
    </row>
    <row r="363" spans="1:24" s="113" customFormat="1" x14ac:dyDescent="0.2">
      <c r="A363" s="73">
        <v>293</v>
      </c>
      <c r="B363" s="74">
        <f t="shared" si="83"/>
        <v>0</v>
      </c>
      <c r="C363" s="75">
        <f t="shared" si="84"/>
        <v>0</v>
      </c>
      <c r="D363" s="75">
        <f t="shared" si="85"/>
        <v>159.28389816204339</v>
      </c>
      <c r="E363" s="54">
        <f t="shared" si="89"/>
        <v>159.28389816204339</v>
      </c>
      <c r="F363" s="76">
        <f t="shared" si="102"/>
        <v>50691.430876771541</v>
      </c>
      <c r="G363" s="77">
        <f t="shared" si="101"/>
        <v>325.0289117714949</v>
      </c>
      <c r="H363" s="79">
        <f t="shared" si="90"/>
        <v>95233.471149048346</v>
      </c>
      <c r="I363" s="78">
        <f t="shared" si="86"/>
        <v>165.74501360945152</v>
      </c>
      <c r="J363" s="76">
        <f t="shared" si="91"/>
        <v>55318.472222222219</v>
      </c>
      <c r="K363" s="80">
        <f t="shared" si="87"/>
        <v>106.18926544136225</v>
      </c>
      <c r="L363" s="78">
        <f t="shared" si="92"/>
        <v>6.8111585332906976</v>
      </c>
      <c r="M363" s="59">
        <f t="shared" si="88"/>
        <v>27443.599179323617</v>
      </c>
      <c r="N363" s="80">
        <f t="shared" si="93"/>
        <v>82762.071401545836</v>
      </c>
      <c r="O363" s="54">
        <f t="shared" si="94"/>
        <v>32971.537995230065</v>
      </c>
      <c r="P363" s="54">
        <f t="shared" si="95"/>
        <v>3490.9825773333323</v>
      </c>
      <c r="Q363" s="54">
        <f t="shared" si="96"/>
        <v>578612.95479047135</v>
      </c>
      <c r="R363" s="54">
        <f t="shared" si="97"/>
        <v>230513.31002633684</v>
      </c>
      <c r="S363" s="54">
        <f t="shared" si="98"/>
        <v>495850.88338892552</v>
      </c>
      <c r="T363" s="81">
        <f t="shared" si="99"/>
        <v>197541.77203110678</v>
      </c>
      <c r="U363" s="82">
        <f t="shared" si="100"/>
        <v>2046</v>
      </c>
      <c r="V363" s="414">
        <v>24.4166666666666</v>
      </c>
      <c r="W363" s="185"/>
      <c r="X363" s="185"/>
    </row>
    <row r="364" spans="1:24" s="113" customFormat="1" x14ac:dyDescent="0.2">
      <c r="A364" s="73">
        <v>294</v>
      </c>
      <c r="B364" s="74">
        <f t="shared" si="83"/>
        <v>0</v>
      </c>
      <c r="C364" s="75">
        <f t="shared" si="84"/>
        <v>0</v>
      </c>
      <c r="D364" s="75">
        <f t="shared" si="85"/>
        <v>159.28389816204339</v>
      </c>
      <c r="E364" s="54">
        <f t="shared" si="89"/>
        <v>159.28389816204339</v>
      </c>
      <c r="F364" s="76">
        <f t="shared" si="102"/>
        <v>50850.714774933585</v>
      </c>
      <c r="G364" s="77">
        <f t="shared" si="101"/>
        <v>325.0289117714949</v>
      </c>
      <c r="H364" s="79">
        <f t="shared" si="90"/>
        <v>95558.500060819846</v>
      </c>
      <c r="I364" s="78">
        <f t="shared" si="86"/>
        <v>165.74501360945152</v>
      </c>
      <c r="J364" s="76">
        <f t="shared" si="91"/>
        <v>55318.472222222219</v>
      </c>
      <c r="K364" s="80">
        <f t="shared" si="87"/>
        <v>106.18926544136225</v>
      </c>
      <c r="L364" s="78">
        <f t="shared" si="92"/>
        <v>6.8111585332906976</v>
      </c>
      <c r="M364" s="59">
        <f t="shared" si="88"/>
        <v>27443.599179323617</v>
      </c>
      <c r="N364" s="80">
        <f t="shared" si="93"/>
        <v>82762.071401545836</v>
      </c>
      <c r="O364" s="54">
        <f t="shared" si="94"/>
        <v>32875.650680744562</v>
      </c>
      <c r="P364" s="54">
        <f t="shared" si="95"/>
        <v>3498.0295176666659</v>
      </c>
      <c r="Q364" s="54">
        <f t="shared" si="96"/>
        <v>579780.95001192472</v>
      </c>
      <c r="R364" s="54">
        <f t="shared" si="97"/>
        <v>230306.89857269864</v>
      </c>
      <c r="S364" s="54">
        <f t="shared" si="98"/>
        <v>497018.87861037889</v>
      </c>
      <c r="T364" s="81">
        <f t="shared" si="99"/>
        <v>197431.24789195409</v>
      </c>
      <c r="U364" s="82">
        <f t="shared" si="100"/>
        <v>2046</v>
      </c>
      <c r="V364" s="414">
        <v>24.5</v>
      </c>
      <c r="W364" s="185"/>
      <c r="X364" s="185"/>
    </row>
    <row r="365" spans="1:24" s="113" customFormat="1" x14ac:dyDescent="0.2">
      <c r="A365" s="73">
        <v>295</v>
      </c>
      <c r="B365" s="74">
        <f t="shared" si="83"/>
        <v>0</v>
      </c>
      <c r="C365" s="75">
        <f t="shared" si="84"/>
        <v>0</v>
      </c>
      <c r="D365" s="75">
        <f t="shared" si="85"/>
        <v>159.28389816204339</v>
      </c>
      <c r="E365" s="54">
        <f t="shared" si="89"/>
        <v>159.28389816204339</v>
      </c>
      <c r="F365" s="76">
        <f t="shared" si="102"/>
        <v>51009.99867309563</v>
      </c>
      <c r="G365" s="77">
        <f t="shared" si="101"/>
        <v>325.0289117714949</v>
      </c>
      <c r="H365" s="79">
        <f t="shared" si="90"/>
        <v>95883.528972591346</v>
      </c>
      <c r="I365" s="78">
        <f t="shared" si="86"/>
        <v>165.74501360945152</v>
      </c>
      <c r="J365" s="76">
        <f t="shared" si="91"/>
        <v>55318.472222222219</v>
      </c>
      <c r="K365" s="80">
        <f t="shared" si="87"/>
        <v>106.18926544136225</v>
      </c>
      <c r="L365" s="78">
        <f t="shared" si="92"/>
        <v>6.8111585332906976</v>
      </c>
      <c r="M365" s="59">
        <f t="shared" si="88"/>
        <v>27443.599179323617</v>
      </c>
      <c r="N365" s="80">
        <f t="shared" si="93"/>
        <v>82762.071401545836</v>
      </c>
      <c r="O365" s="54">
        <f t="shared" si="94"/>
        <v>32780.042224257144</v>
      </c>
      <c r="P365" s="54">
        <f t="shared" si="95"/>
        <v>3505.0764579999995</v>
      </c>
      <c r="Q365" s="54">
        <f t="shared" si="96"/>
        <v>580948.94523337809</v>
      </c>
      <c r="R365" s="54">
        <f t="shared" si="97"/>
        <v>230099.73810940754</v>
      </c>
      <c r="S365" s="54">
        <f t="shared" si="98"/>
        <v>498186.87383183226</v>
      </c>
      <c r="T365" s="81">
        <f t="shared" si="99"/>
        <v>197319.6958851504</v>
      </c>
      <c r="U365" s="82">
        <f t="shared" si="100"/>
        <v>2046</v>
      </c>
      <c r="V365" s="414">
        <v>24.5833333333333</v>
      </c>
      <c r="W365" s="185"/>
      <c r="X365" s="185"/>
    </row>
    <row r="366" spans="1:24" s="113" customFormat="1" x14ac:dyDescent="0.2">
      <c r="A366" s="73">
        <v>296</v>
      </c>
      <c r="B366" s="74">
        <f t="shared" si="83"/>
        <v>0</v>
      </c>
      <c r="C366" s="75">
        <f t="shared" si="84"/>
        <v>0</v>
      </c>
      <c r="D366" s="75">
        <f t="shared" si="85"/>
        <v>159.28389816204339</v>
      </c>
      <c r="E366" s="54">
        <f t="shared" si="89"/>
        <v>159.28389816204339</v>
      </c>
      <c r="F366" s="76">
        <f t="shared" si="102"/>
        <v>51169.282571257674</v>
      </c>
      <c r="G366" s="77">
        <f t="shared" si="101"/>
        <v>325.0289117714949</v>
      </c>
      <c r="H366" s="79">
        <f t="shared" si="90"/>
        <v>96208.557884362846</v>
      </c>
      <c r="I366" s="78">
        <f t="shared" si="86"/>
        <v>165.74501360945152</v>
      </c>
      <c r="J366" s="76">
        <f t="shared" si="91"/>
        <v>55318.472222222219</v>
      </c>
      <c r="K366" s="80">
        <f t="shared" si="87"/>
        <v>106.18926544136225</v>
      </c>
      <c r="L366" s="78">
        <f t="shared" si="92"/>
        <v>6.8111585332906976</v>
      </c>
      <c r="M366" s="59">
        <f t="shared" si="88"/>
        <v>27443.599179323617</v>
      </c>
      <c r="N366" s="80">
        <f t="shared" si="93"/>
        <v>82762.071401545836</v>
      </c>
      <c r="O366" s="54">
        <f t="shared" si="94"/>
        <v>32684.711814797309</v>
      </c>
      <c r="P366" s="54">
        <f t="shared" si="95"/>
        <v>3512.1233983333327</v>
      </c>
      <c r="Q366" s="54">
        <f t="shared" si="96"/>
        <v>582116.94045483135</v>
      </c>
      <c r="R366" s="54">
        <f t="shared" si="97"/>
        <v>229891.83473871235</v>
      </c>
      <c r="S366" s="54">
        <f t="shared" si="98"/>
        <v>499354.86905328551</v>
      </c>
      <c r="T366" s="81">
        <f t="shared" si="99"/>
        <v>197207.12292391504</v>
      </c>
      <c r="U366" s="82">
        <f t="shared" si="100"/>
        <v>2046</v>
      </c>
      <c r="V366" s="414">
        <v>24.6666666666666</v>
      </c>
      <c r="W366" s="185"/>
      <c r="X366" s="185"/>
    </row>
    <row r="367" spans="1:24" s="113" customFormat="1" x14ac:dyDescent="0.2">
      <c r="A367" s="73">
        <v>297</v>
      </c>
      <c r="B367" s="74">
        <f t="shared" si="83"/>
        <v>0</v>
      </c>
      <c r="C367" s="75">
        <f t="shared" si="84"/>
        <v>0</v>
      </c>
      <c r="D367" s="75">
        <f t="shared" si="85"/>
        <v>159.28389816204339</v>
      </c>
      <c r="E367" s="54">
        <f t="shared" si="89"/>
        <v>159.28389816204339</v>
      </c>
      <c r="F367" s="76">
        <f t="shared" si="102"/>
        <v>51328.566469419718</v>
      </c>
      <c r="G367" s="77">
        <f t="shared" si="101"/>
        <v>325.0289117714949</v>
      </c>
      <c r="H367" s="79">
        <f t="shared" si="90"/>
        <v>96533.586796134347</v>
      </c>
      <c r="I367" s="78">
        <f t="shared" si="86"/>
        <v>165.74501360945152</v>
      </c>
      <c r="J367" s="76">
        <f t="shared" si="91"/>
        <v>55318.472222222219</v>
      </c>
      <c r="K367" s="80">
        <f t="shared" si="87"/>
        <v>106.18926544136225</v>
      </c>
      <c r="L367" s="78">
        <f t="shared" si="92"/>
        <v>6.8111585332906976</v>
      </c>
      <c r="M367" s="59">
        <f t="shared" si="88"/>
        <v>27443.599179323617</v>
      </c>
      <c r="N367" s="80">
        <f t="shared" si="93"/>
        <v>82762.071401545836</v>
      </c>
      <c r="O367" s="54">
        <f t="shared" si="94"/>
        <v>32589.658643753042</v>
      </c>
      <c r="P367" s="54">
        <f t="shared" si="95"/>
        <v>3519.1703386666659</v>
      </c>
      <c r="Q367" s="54">
        <f t="shared" si="96"/>
        <v>583284.9356762846</v>
      </c>
      <c r="R367" s="54">
        <f t="shared" si="97"/>
        <v>229683.19453370414</v>
      </c>
      <c r="S367" s="54">
        <f t="shared" si="98"/>
        <v>500522.86427473876</v>
      </c>
      <c r="T367" s="81">
        <f t="shared" si="99"/>
        <v>197093.5358899511</v>
      </c>
      <c r="U367" s="82">
        <f t="shared" si="100"/>
        <v>2046</v>
      </c>
      <c r="V367" s="414">
        <v>24.75</v>
      </c>
      <c r="W367" s="185"/>
      <c r="X367" s="185"/>
    </row>
    <row r="368" spans="1:24" s="113" customFormat="1" x14ac:dyDescent="0.2">
      <c r="A368" s="73">
        <v>298</v>
      </c>
      <c r="B368" s="74">
        <f t="shared" si="83"/>
        <v>0</v>
      </c>
      <c r="C368" s="75">
        <f t="shared" si="84"/>
        <v>0</v>
      </c>
      <c r="D368" s="75">
        <f t="shared" si="85"/>
        <v>159.28389816204339</v>
      </c>
      <c r="E368" s="54">
        <f t="shared" si="89"/>
        <v>159.28389816204339</v>
      </c>
      <c r="F368" s="76">
        <f t="shared" si="102"/>
        <v>51487.850367581763</v>
      </c>
      <c r="G368" s="77">
        <f t="shared" si="101"/>
        <v>325.0289117714949</v>
      </c>
      <c r="H368" s="79">
        <f t="shared" si="90"/>
        <v>96858.615707905847</v>
      </c>
      <c r="I368" s="78">
        <f t="shared" si="86"/>
        <v>165.74501360945152</v>
      </c>
      <c r="J368" s="76">
        <f t="shared" si="91"/>
        <v>55318.472222222219</v>
      </c>
      <c r="K368" s="80">
        <f t="shared" si="87"/>
        <v>106.18926544136225</v>
      </c>
      <c r="L368" s="78">
        <f t="shared" si="92"/>
        <v>6.8111585332906976</v>
      </c>
      <c r="M368" s="59">
        <f t="shared" si="88"/>
        <v>27443.599179323617</v>
      </c>
      <c r="N368" s="80">
        <f t="shared" si="93"/>
        <v>82762.071401545836</v>
      </c>
      <c r="O368" s="54">
        <f t="shared" si="94"/>
        <v>32494.881904863854</v>
      </c>
      <c r="P368" s="54">
        <f t="shared" si="95"/>
        <v>3526.2172789999995</v>
      </c>
      <c r="Q368" s="54">
        <f t="shared" si="96"/>
        <v>584452.93089773797</v>
      </c>
      <c r="R368" s="54">
        <f t="shared" si="97"/>
        <v>229473.82353843335</v>
      </c>
      <c r="S368" s="54">
        <f t="shared" si="98"/>
        <v>501690.85949619213</v>
      </c>
      <c r="T368" s="81">
        <f t="shared" si="99"/>
        <v>196978.94163356951</v>
      </c>
      <c r="U368" s="82">
        <f t="shared" si="100"/>
        <v>2046</v>
      </c>
      <c r="V368" s="414">
        <v>24.8333333333333</v>
      </c>
      <c r="W368" s="185"/>
      <c r="X368" s="185"/>
    </row>
    <row r="369" spans="1:24" s="113" customFormat="1" x14ac:dyDescent="0.2">
      <c r="A369" s="73">
        <v>299</v>
      </c>
      <c r="B369" s="74">
        <f t="shared" si="83"/>
        <v>0</v>
      </c>
      <c r="C369" s="75">
        <f t="shared" si="84"/>
        <v>0</v>
      </c>
      <c r="D369" s="75">
        <f t="shared" si="85"/>
        <v>159.28389816204339</v>
      </c>
      <c r="E369" s="54">
        <f t="shared" si="89"/>
        <v>159.28389816204339</v>
      </c>
      <c r="F369" s="76">
        <f t="shared" si="102"/>
        <v>51647.134265743807</v>
      </c>
      <c r="G369" s="77">
        <f t="shared" si="101"/>
        <v>325.0289117714949</v>
      </c>
      <c r="H369" s="79">
        <f t="shared" si="90"/>
        <v>97183.644619677347</v>
      </c>
      <c r="I369" s="78">
        <f t="shared" si="86"/>
        <v>165.74501360945152</v>
      </c>
      <c r="J369" s="76">
        <f t="shared" si="91"/>
        <v>55318.472222222219</v>
      </c>
      <c r="K369" s="80">
        <f t="shared" si="87"/>
        <v>106.18926544136225</v>
      </c>
      <c r="L369" s="78">
        <f t="shared" si="92"/>
        <v>6.8111585332906976</v>
      </c>
      <c r="M369" s="59">
        <f t="shared" si="88"/>
        <v>27443.599179323617</v>
      </c>
      <c r="N369" s="80">
        <f t="shared" si="93"/>
        <v>82762.071401545836</v>
      </c>
      <c r="O369" s="54">
        <f t="shared" si="94"/>
        <v>32400.380794214067</v>
      </c>
      <c r="P369" s="54">
        <f t="shared" si="95"/>
        <v>3533.2642193333331</v>
      </c>
      <c r="Q369" s="54">
        <f t="shared" si="96"/>
        <v>585620.92611919134</v>
      </c>
      <c r="R369" s="54">
        <f t="shared" si="97"/>
        <v>229263.72776802804</v>
      </c>
      <c r="S369" s="54">
        <f t="shared" si="98"/>
        <v>502858.8547176455</v>
      </c>
      <c r="T369" s="81">
        <f t="shared" si="99"/>
        <v>196863.34697381395</v>
      </c>
      <c r="U369" s="82">
        <f t="shared" si="100"/>
        <v>2046</v>
      </c>
      <c r="V369" s="414">
        <v>24.9166666666666</v>
      </c>
      <c r="W369" s="185"/>
      <c r="X369" s="185"/>
    </row>
    <row r="370" spans="1:24" s="113" customFormat="1" x14ac:dyDescent="0.2">
      <c r="A370" s="73">
        <v>300</v>
      </c>
      <c r="B370" s="74">
        <f t="shared" si="83"/>
        <v>0</v>
      </c>
      <c r="C370" s="75">
        <f t="shared" si="84"/>
        <v>0</v>
      </c>
      <c r="D370" s="75">
        <f t="shared" si="85"/>
        <v>159.28389816204339</v>
      </c>
      <c r="E370" s="54">
        <f t="shared" si="89"/>
        <v>159.28389816204339</v>
      </c>
      <c r="F370" s="76">
        <f t="shared" si="102"/>
        <v>51806.418163905852</v>
      </c>
      <c r="G370" s="77">
        <f t="shared" si="101"/>
        <v>325.0289117714949</v>
      </c>
      <c r="H370" s="79">
        <f t="shared" si="90"/>
        <v>97508.673531448847</v>
      </c>
      <c r="I370" s="78">
        <f t="shared" si="86"/>
        <v>165.74501360945152</v>
      </c>
      <c r="J370" s="76">
        <f t="shared" si="91"/>
        <v>55318.472222222219</v>
      </c>
      <c r="K370" s="80">
        <f t="shared" si="87"/>
        <v>106.18926544136225</v>
      </c>
      <c r="L370" s="78">
        <f t="shared" si="92"/>
        <v>6.8111585332906976</v>
      </c>
      <c r="M370" s="59">
        <f t="shared" si="88"/>
        <v>27443.599179323617</v>
      </c>
      <c r="N370" s="80">
        <f t="shared" si="93"/>
        <v>82762.071401545836</v>
      </c>
      <c r="O370" s="54">
        <f t="shared" si="94"/>
        <v>32306.154510225908</v>
      </c>
      <c r="P370" s="54">
        <f t="shared" si="95"/>
        <v>3540.3111596666658</v>
      </c>
      <c r="Q370" s="54">
        <f t="shared" si="96"/>
        <v>586788.92134064459</v>
      </c>
      <c r="R370" s="54">
        <f t="shared" si="97"/>
        <v>229052.91320881055</v>
      </c>
      <c r="S370" s="54">
        <f t="shared" si="98"/>
        <v>504026.84993909876</v>
      </c>
      <c r="T370" s="81">
        <f t="shared" si="99"/>
        <v>196746.75869858466</v>
      </c>
      <c r="U370" s="82">
        <f t="shared" si="100"/>
        <v>2046</v>
      </c>
      <c r="V370" s="414">
        <v>25</v>
      </c>
      <c r="W370" s="185"/>
      <c r="X370" s="185"/>
    </row>
    <row r="371" spans="1:24" s="113" customFormat="1" x14ac:dyDescent="0.2">
      <c r="A371" s="73">
        <v>301</v>
      </c>
      <c r="B371" s="74">
        <f t="shared" si="83"/>
        <v>0</v>
      </c>
      <c r="C371" s="75">
        <f t="shared" si="84"/>
        <v>0</v>
      </c>
      <c r="D371" s="75">
        <f t="shared" si="85"/>
        <v>159.28389816204339</v>
      </c>
      <c r="E371" s="54">
        <f t="shared" si="89"/>
        <v>159.28389816204339</v>
      </c>
      <c r="F371" s="76">
        <f t="shared" si="102"/>
        <v>51965.702062067896</v>
      </c>
      <c r="G371" s="77">
        <f t="shared" si="101"/>
        <v>325.0289117714949</v>
      </c>
      <c r="H371" s="79">
        <f t="shared" si="90"/>
        <v>97833.702443220347</v>
      </c>
      <c r="I371" s="78">
        <f t="shared" si="86"/>
        <v>165.74501360945152</v>
      </c>
      <c r="J371" s="76">
        <f t="shared" si="91"/>
        <v>55318.472222222219</v>
      </c>
      <c r="K371" s="80">
        <f t="shared" si="87"/>
        <v>106.18926544136225</v>
      </c>
      <c r="L371" s="78">
        <f t="shared" si="92"/>
        <v>6.8111585332906976</v>
      </c>
      <c r="M371" s="59">
        <f t="shared" si="88"/>
        <v>27443.599179323617</v>
      </c>
      <c r="N371" s="80">
        <f t="shared" si="93"/>
        <v>82762.071401545836</v>
      </c>
      <c r="O371" s="54">
        <f t="shared" si="94"/>
        <v>32212.202253652755</v>
      </c>
      <c r="P371" s="54">
        <f t="shared" si="95"/>
        <v>3547.358099999999</v>
      </c>
      <c r="Q371" s="54">
        <f t="shared" si="96"/>
        <v>587956.91656209796</v>
      </c>
      <c r="R371" s="54">
        <f t="shared" si="97"/>
        <v>228841.38581841471</v>
      </c>
      <c r="S371" s="54">
        <f t="shared" si="98"/>
        <v>505194.84516055213</v>
      </c>
      <c r="T371" s="81">
        <f t="shared" si="99"/>
        <v>196629.18356476194</v>
      </c>
      <c r="U371" s="376">
        <f t="shared" si="100"/>
        <v>2047</v>
      </c>
      <c r="V371" s="414">
        <v>25.0833333333333</v>
      </c>
      <c r="W371" s="185"/>
      <c r="X371" s="185"/>
    </row>
    <row r="372" spans="1:24" s="113" customFormat="1" x14ac:dyDescent="0.2">
      <c r="A372" s="73">
        <v>302</v>
      </c>
      <c r="B372" s="74">
        <f t="shared" si="83"/>
        <v>0</v>
      </c>
      <c r="C372" s="75">
        <f t="shared" si="84"/>
        <v>0</v>
      </c>
      <c r="D372" s="75">
        <f t="shared" si="85"/>
        <v>159.28389816204339</v>
      </c>
      <c r="E372" s="54">
        <f t="shared" si="89"/>
        <v>159.28389816204339</v>
      </c>
      <c r="F372" s="76">
        <f t="shared" si="102"/>
        <v>52124.98596022994</v>
      </c>
      <c r="G372" s="77">
        <f t="shared" si="101"/>
        <v>325.0289117714949</v>
      </c>
      <c r="H372" s="79">
        <f t="shared" si="90"/>
        <v>98158.731354991847</v>
      </c>
      <c r="I372" s="78">
        <f t="shared" si="86"/>
        <v>165.74501360945152</v>
      </c>
      <c r="J372" s="76">
        <f t="shared" si="91"/>
        <v>55318.472222222219</v>
      </c>
      <c r="K372" s="80">
        <f t="shared" si="87"/>
        <v>106.18926544136225</v>
      </c>
      <c r="L372" s="78">
        <f t="shared" si="92"/>
        <v>6.8111585332906976</v>
      </c>
      <c r="M372" s="59">
        <f t="shared" si="88"/>
        <v>27443.599179323617</v>
      </c>
      <c r="N372" s="80">
        <f t="shared" si="93"/>
        <v>82762.071401545836</v>
      </c>
      <c r="O372" s="54">
        <f t="shared" si="94"/>
        <v>32118.523227572332</v>
      </c>
      <c r="P372" s="54">
        <f t="shared" si="95"/>
        <v>3554.4050403333326</v>
      </c>
      <c r="Q372" s="54">
        <f t="shared" si="96"/>
        <v>589124.91178355133</v>
      </c>
      <c r="R372" s="54">
        <f t="shared" si="97"/>
        <v>228629.1515259014</v>
      </c>
      <c r="S372" s="54">
        <f t="shared" si="98"/>
        <v>506362.8403820055</v>
      </c>
      <c r="T372" s="81">
        <f t="shared" si="99"/>
        <v>196510.62829832907</v>
      </c>
      <c r="U372" s="82">
        <f t="shared" si="100"/>
        <v>2047</v>
      </c>
      <c r="V372" s="414">
        <v>25.1666666666666</v>
      </c>
      <c r="W372" s="185"/>
      <c r="X372" s="185"/>
    </row>
    <row r="373" spans="1:24" s="113" customFormat="1" x14ac:dyDescent="0.2">
      <c r="A373" s="73">
        <v>303</v>
      </c>
      <c r="B373" s="74">
        <f t="shared" si="83"/>
        <v>0</v>
      </c>
      <c r="C373" s="75">
        <f t="shared" si="84"/>
        <v>0</v>
      </c>
      <c r="D373" s="75">
        <f t="shared" si="85"/>
        <v>159.28389816204339</v>
      </c>
      <c r="E373" s="54">
        <f t="shared" si="89"/>
        <v>159.28389816204339</v>
      </c>
      <c r="F373" s="76">
        <f t="shared" si="102"/>
        <v>52284.269858391985</v>
      </c>
      <c r="G373" s="77">
        <f t="shared" si="101"/>
        <v>325.0289117714949</v>
      </c>
      <c r="H373" s="79">
        <f t="shared" si="90"/>
        <v>98483.760266763347</v>
      </c>
      <c r="I373" s="78">
        <f t="shared" si="86"/>
        <v>165.74501360945152</v>
      </c>
      <c r="J373" s="76">
        <f t="shared" si="91"/>
        <v>55318.472222222219</v>
      </c>
      <c r="K373" s="80">
        <f t="shared" si="87"/>
        <v>106.18926544136225</v>
      </c>
      <c r="L373" s="78">
        <f t="shared" si="92"/>
        <v>6.8111585332906976</v>
      </c>
      <c r="M373" s="59">
        <f t="shared" si="88"/>
        <v>27443.599179323617</v>
      </c>
      <c r="N373" s="80">
        <f t="shared" si="93"/>
        <v>82762.071401545836</v>
      </c>
      <c r="O373" s="54">
        <f t="shared" si="94"/>
        <v>32025.116637379986</v>
      </c>
      <c r="P373" s="54">
        <f t="shared" si="95"/>
        <v>3561.4519806666658</v>
      </c>
      <c r="Q373" s="54">
        <f t="shared" si="96"/>
        <v>590292.90700500458</v>
      </c>
      <c r="R373" s="54">
        <f t="shared" si="97"/>
        <v>228416.21623187495</v>
      </c>
      <c r="S373" s="54">
        <f t="shared" si="98"/>
        <v>507530.83560345875</v>
      </c>
      <c r="T373" s="81">
        <f t="shared" si="99"/>
        <v>196391.09959449497</v>
      </c>
      <c r="U373" s="82">
        <f t="shared" si="100"/>
        <v>2047</v>
      </c>
      <c r="V373" s="414">
        <v>25.25</v>
      </c>
      <c r="W373" s="185"/>
      <c r="X373" s="185"/>
    </row>
    <row r="374" spans="1:24" s="113" customFormat="1" x14ac:dyDescent="0.2">
      <c r="A374" s="73">
        <v>304</v>
      </c>
      <c r="B374" s="74">
        <f t="shared" si="83"/>
        <v>0</v>
      </c>
      <c r="C374" s="75">
        <f t="shared" si="84"/>
        <v>0</v>
      </c>
      <c r="D374" s="75">
        <f t="shared" si="85"/>
        <v>159.28389816204339</v>
      </c>
      <c r="E374" s="54">
        <f t="shared" si="89"/>
        <v>159.28389816204339</v>
      </c>
      <c r="F374" s="76">
        <f t="shared" si="102"/>
        <v>52443.553756554029</v>
      </c>
      <c r="G374" s="77">
        <f t="shared" si="101"/>
        <v>325.0289117714949</v>
      </c>
      <c r="H374" s="79">
        <f t="shared" si="90"/>
        <v>98808.789178534847</v>
      </c>
      <c r="I374" s="78">
        <f t="shared" si="86"/>
        <v>165.74501360945152</v>
      </c>
      <c r="J374" s="76">
        <f t="shared" si="91"/>
        <v>55318.472222222219</v>
      </c>
      <c r="K374" s="80">
        <f t="shared" si="87"/>
        <v>106.18926544136225</v>
      </c>
      <c r="L374" s="78">
        <f t="shared" si="92"/>
        <v>6.8111585332906976</v>
      </c>
      <c r="M374" s="59">
        <f t="shared" si="88"/>
        <v>27443.599179323617</v>
      </c>
      <c r="N374" s="80">
        <f t="shared" si="93"/>
        <v>82762.071401545836</v>
      </c>
      <c r="O374" s="54">
        <f t="shared" si="94"/>
        <v>31931.981690781853</v>
      </c>
      <c r="P374" s="54">
        <f t="shared" si="95"/>
        <v>3568.4989209999994</v>
      </c>
      <c r="Q374" s="54">
        <f t="shared" si="96"/>
        <v>591460.90222645795</v>
      </c>
      <c r="R374" s="54">
        <f t="shared" si="97"/>
        <v>228202.58580859794</v>
      </c>
      <c r="S374" s="54">
        <f t="shared" si="98"/>
        <v>508698.83082491212</v>
      </c>
      <c r="T374" s="81">
        <f t="shared" si="99"/>
        <v>196270.60411781608</v>
      </c>
      <c r="U374" s="82">
        <f t="shared" si="100"/>
        <v>2047</v>
      </c>
      <c r="V374" s="414">
        <v>25.3333333333333</v>
      </c>
      <c r="W374" s="185"/>
      <c r="X374" s="185"/>
    </row>
    <row r="375" spans="1:24" s="113" customFormat="1" x14ac:dyDescent="0.2">
      <c r="A375" s="73">
        <v>305</v>
      </c>
      <c r="B375" s="74">
        <f t="shared" si="83"/>
        <v>0</v>
      </c>
      <c r="C375" s="75">
        <f t="shared" si="84"/>
        <v>0</v>
      </c>
      <c r="D375" s="75">
        <f t="shared" si="85"/>
        <v>159.28389816204339</v>
      </c>
      <c r="E375" s="54">
        <f t="shared" si="89"/>
        <v>159.28389816204339</v>
      </c>
      <c r="F375" s="76">
        <f t="shared" si="102"/>
        <v>52602.837654716073</v>
      </c>
      <c r="G375" s="77">
        <f t="shared" si="101"/>
        <v>325.0289117714949</v>
      </c>
      <c r="H375" s="79">
        <f t="shared" si="90"/>
        <v>99133.818090306348</v>
      </c>
      <c r="I375" s="78">
        <f t="shared" si="86"/>
        <v>165.74501360945152</v>
      </c>
      <c r="J375" s="76">
        <f t="shared" si="91"/>
        <v>55318.472222222219</v>
      </c>
      <c r="K375" s="80">
        <f t="shared" si="87"/>
        <v>106.18926544136225</v>
      </c>
      <c r="L375" s="78">
        <f t="shared" si="92"/>
        <v>6.8111585332906976</v>
      </c>
      <c r="M375" s="59">
        <f t="shared" si="88"/>
        <v>27443.599179323617</v>
      </c>
      <c r="N375" s="80">
        <f t="shared" si="93"/>
        <v>82762.071401545836</v>
      </c>
      <c r="O375" s="54">
        <f t="shared" si="94"/>
        <v>31839.117597788314</v>
      </c>
      <c r="P375" s="54">
        <f t="shared" si="95"/>
        <v>3575.5458613333326</v>
      </c>
      <c r="Q375" s="54">
        <f t="shared" si="96"/>
        <v>592628.89744791121</v>
      </c>
      <c r="R375" s="54">
        <f t="shared" si="97"/>
        <v>227988.26610010685</v>
      </c>
      <c r="S375" s="54">
        <f t="shared" si="98"/>
        <v>509866.82604636537</v>
      </c>
      <c r="T375" s="81">
        <f t="shared" si="99"/>
        <v>196149.14850231854</v>
      </c>
      <c r="U375" s="82">
        <f t="shared" si="100"/>
        <v>2047</v>
      </c>
      <c r="V375" s="414">
        <v>25.4166666666666</v>
      </c>
      <c r="W375" s="185"/>
      <c r="X375" s="185"/>
    </row>
    <row r="376" spans="1:24" s="113" customFormat="1" x14ac:dyDescent="0.2">
      <c r="A376" s="73">
        <v>306</v>
      </c>
      <c r="B376" s="74">
        <f t="shared" si="83"/>
        <v>0</v>
      </c>
      <c r="C376" s="75">
        <f t="shared" si="84"/>
        <v>0</v>
      </c>
      <c r="D376" s="75">
        <f t="shared" si="85"/>
        <v>159.28389816204339</v>
      </c>
      <c r="E376" s="54">
        <f t="shared" si="89"/>
        <v>159.28389816204339</v>
      </c>
      <c r="F376" s="76">
        <f t="shared" si="102"/>
        <v>52762.121552878118</v>
      </c>
      <c r="G376" s="77">
        <f t="shared" si="101"/>
        <v>325.0289117714949</v>
      </c>
      <c r="H376" s="79">
        <f t="shared" si="90"/>
        <v>99458.847002077848</v>
      </c>
      <c r="I376" s="78">
        <f t="shared" si="86"/>
        <v>165.74501360945152</v>
      </c>
      <c r="J376" s="76">
        <f t="shared" si="91"/>
        <v>55318.472222222219</v>
      </c>
      <c r="K376" s="80">
        <f t="shared" si="87"/>
        <v>106.18926544136225</v>
      </c>
      <c r="L376" s="78">
        <f t="shared" si="92"/>
        <v>6.8111585332906976</v>
      </c>
      <c r="M376" s="59">
        <f t="shared" si="88"/>
        <v>27443.599179323617</v>
      </c>
      <c r="N376" s="80">
        <f t="shared" si="93"/>
        <v>82762.071401545836</v>
      </c>
      <c r="O376" s="54">
        <f t="shared" si="94"/>
        <v>31746.523570707079</v>
      </c>
      <c r="P376" s="54">
        <f t="shared" si="95"/>
        <v>3582.5928016666658</v>
      </c>
      <c r="Q376" s="54">
        <f t="shared" si="96"/>
        <v>593796.89266936458</v>
      </c>
      <c r="R376" s="54">
        <f t="shared" si="97"/>
        <v>227773.26292232584</v>
      </c>
      <c r="S376" s="54">
        <f t="shared" si="98"/>
        <v>511034.82126781874</v>
      </c>
      <c r="T376" s="81">
        <f t="shared" si="99"/>
        <v>196026.73935161877</v>
      </c>
      <c r="U376" s="82">
        <f t="shared" si="100"/>
        <v>2047</v>
      </c>
      <c r="V376" s="414">
        <v>25.5</v>
      </c>
      <c r="W376" s="185"/>
      <c r="X376" s="185"/>
    </row>
    <row r="377" spans="1:24" s="113" customFormat="1" x14ac:dyDescent="0.2">
      <c r="A377" s="73">
        <v>307</v>
      </c>
      <c r="B377" s="74">
        <f t="shared" si="83"/>
        <v>0</v>
      </c>
      <c r="C377" s="75">
        <f t="shared" si="84"/>
        <v>0</v>
      </c>
      <c r="D377" s="75">
        <f t="shared" si="85"/>
        <v>159.28389816204339</v>
      </c>
      <c r="E377" s="54">
        <f t="shared" si="89"/>
        <v>159.28389816204339</v>
      </c>
      <c r="F377" s="76">
        <f t="shared" si="102"/>
        <v>52921.405451040162</v>
      </c>
      <c r="G377" s="77">
        <f t="shared" si="101"/>
        <v>325.0289117714949</v>
      </c>
      <c r="H377" s="79">
        <f t="shared" si="90"/>
        <v>99783.875913849348</v>
      </c>
      <c r="I377" s="78">
        <f t="shared" si="86"/>
        <v>165.74501360945152</v>
      </c>
      <c r="J377" s="76">
        <f t="shared" si="91"/>
        <v>55318.472222222219</v>
      </c>
      <c r="K377" s="80">
        <f t="shared" si="87"/>
        <v>106.18926544136225</v>
      </c>
      <c r="L377" s="78">
        <f t="shared" si="92"/>
        <v>6.8111585332906976</v>
      </c>
      <c r="M377" s="59">
        <f t="shared" si="88"/>
        <v>27443.599179323617</v>
      </c>
      <c r="N377" s="80">
        <f t="shared" si="93"/>
        <v>82762.071401545836</v>
      </c>
      <c r="O377" s="54">
        <f t="shared" si="94"/>
        <v>31654.198824136685</v>
      </c>
      <c r="P377" s="54">
        <f t="shared" si="95"/>
        <v>3589.6397419999994</v>
      </c>
      <c r="Q377" s="54">
        <f t="shared" si="96"/>
        <v>594964.88789081795</v>
      </c>
      <c r="R377" s="54">
        <f t="shared" si="97"/>
        <v>227557.58206318141</v>
      </c>
      <c r="S377" s="54">
        <f t="shared" si="98"/>
        <v>512202.81648927211</v>
      </c>
      <c r="T377" s="81">
        <f t="shared" si="99"/>
        <v>195903.38323904472</v>
      </c>
      <c r="U377" s="82">
        <f t="shared" si="100"/>
        <v>2047</v>
      </c>
      <c r="V377" s="414">
        <v>25.5833333333333</v>
      </c>
      <c r="W377" s="185"/>
      <c r="X377" s="185"/>
    </row>
    <row r="378" spans="1:24" s="113" customFormat="1" x14ac:dyDescent="0.2">
      <c r="A378" s="73">
        <v>308</v>
      </c>
      <c r="B378" s="74">
        <f t="shared" si="83"/>
        <v>0</v>
      </c>
      <c r="C378" s="75">
        <f t="shared" si="84"/>
        <v>0</v>
      </c>
      <c r="D378" s="75">
        <f t="shared" si="85"/>
        <v>159.28389816204339</v>
      </c>
      <c r="E378" s="54">
        <f t="shared" si="89"/>
        <v>159.28389816204339</v>
      </c>
      <c r="F378" s="76">
        <f t="shared" si="102"/>
        <v>53080.689349202206</v>
      </c>
      <c r="G378" s="77">
        <f t="shared" si="101"/>
        <v>325.0289117714949</v>
      </c>
      <c r="H378" s="79">
        <f t="shared" si="90"/>
        <v>100108.90482562085</v>
      </c>
      <c r="I378" s="78">
        <f t="shared" si="86"/>
        <v>165.74501360945152</v>
      </c>
      <c r="J378" s="76">
        <f t="shared" si="91"/>
        <v>55318.472222222219</v>
      </c>
      <c r="K378" s="80">
        <f t="shared" si="87"/>
        <v>106.18926544136225</v>
      </c>
      <c r="L378" s="78">
        <f t="shared" si="92"/>
        <v>6.8111585332906976</v>
      </c>
      <c r="M378" s="59">
        <f t="shared" si="88"/>
        <v>27443.599179323617</v>
      </c>
      <c r="N378" s="80">
        <f t="shared" si="93"/>
        <v>82762.071401545836</v>
      </c>
      <c r="O378" s="54">
        <f t="shared" si="94"/>
        <v>31562.142574959715</v>
      </c>
      <c r="P378" s="54">
        <f t="shared" si="95"/>
        <v>3596.686682333333</v>
      </c>
      <c r="Q378" s="54">
        <f t="shared" si="96"/>
        <v>596132.88311227132</v>
      </c>
      <c r="R378" s="54">
        <f t="shared" si="97"/>
        <v>227341.22928271547</v>
      </c>
      <c r="S378" s="54">
        <f t="shared" si="98"/>
        <v>513370.81171072548</v>
      </c>
      <c r="T378" s="81">
        <f t="shared" si="99"/>
        <v>195779.08670775575</v>
      </c>
      <c r="U378" s="82">
        <f t="shared" si="100"/>
        <v>2047</v>
      </c>
      <c r="V378" s="414">
        <v>25.6666666666666</v>
      </c>
      <c r="W378" s="185"/>
      <c r="X378" s="185"/>
    </row>
    <row r="379" spans="1:24" s="113" customFormat="1" x14ac:dyDescent="0.2">
      <c r="A379" s="73">
        <v>309</v>
      </c>
      <c r="B379" s="74">
        <f t="shared" si="83"/>
        <v>0</v>
      </c>
      <c r="C379" s="75">
        <f t="shared" si="84"/>
        <v>0</v>
      </c>
      <c r="D379" s="75">
        <f t="shared" si="85"/>
        <v>159.28389816204339</v>
      </c>
      <c r="E379" s="54">
        <f t="shared" si="89"/>
        <v>159.28389816204339</v>
      </c>
      <c r="F379" s="76">
        <f t="shared" si="102"/>
        <v>53239.973247364251</v>
      </c>
      <c r="G379" s="77">
        <f t="shared" si="101"/>
        <v>325.0289117714949</v>
      </c>
      <c r="H379" s="79">
        <f t="shared" si="90"/>
        <v>100433.93373739235</v>
      </c>
      <c r="I379" s="78">
        <f t="shared" si="86"/>
        <v>165.74501360945152</v>
      </c>
      <c r="J379" s="76">
        <f t="shared" si="91"/>
        <v>55318.472222222219</v>
      </c>
      <c r="K379" s="80">
        <f t="shared" si="87"/>
        <v>106.18926544136225</v>
      </c>
      <c r="L379" s="78">
        <f t="shared" si="92"/>
        <v>6.8111585332906976</v>
      </c>
      <c r="M379" s="59">
        <f t="shared" si="88"/>
        <v>27443.599179323617</v>
      </c>
      <c r="N379" s="80">
        <f t="shared" si="93"/>
        <v>82762.071401545836</v>
      </c>
      <c r="O379" s="54">
        <f t="shared" si="94"/>
        <v>31470.354042336236</v>
      </c>
      <c r="P379" s="54">
        <f t="shared" si="95"/>
        <v>3603.7336226666657</v>
      </c>
      <c r="Q379" s="54">
        <f t="shared" si="96"/>
        <v>597300.87833372457</v>
      </c>
      <c r="R379" s="54">
        <f t="shared" si="97"/>
        <v>227124.21031319929</v>
      </c>
      <c r="S379" s="54">
        <f t="shared" si="98"/>
        <v>514538.80693217873</v>
      </c>
      <c r="T379" s="81">
        <f t="shared" si="99"/>
        <v>195653.85627086306</v>
      </c>
      <c r="U379" s="82">
        <f t="shared" si="100"/>
        <v>2047</v>
      </c>
      <c r="V379" s="414">
        <v>25.75</v>
      </c>
      <c r="W379" s="185"/>
      <c r="X379" s="185"/>
    </row>
    <row r="380" spans="1:24" s="113" customFormat="1" x14ac:dyDescent="0.2">
      <c r="A380" s="73">
        <v>310</v>
      </c>
      <c r="B380" s="74">
        <f t="shared" si="83"/>
        <v>0</v>
      </c>
      <c r="C380" s="75">
        <f t="shared" si="84"/>
        <v>0</v>
      </c>
      <c r="D380" s="75">
        <f t="shared" si="85"/>
        <v>159.28389816204339</v>
      </c>
      <c r="E380" s="54">
        <f t="shared" si="89"/>
        <v>159.28389816204339</v>
      </c>
      <c r="F380" s="76">
        <f t="shared" si="102"/>
        <v>53399.257145526295</v>
      </c>
      <c r="G380" s="77">
        <f t="shared" si="101"/>
        <v>325.0289117714949</v>
      </c>
      <c r="H380" s="79">
        <f t="shared" si="90"/>
        <v>100758.96264916385</v>
      </c>
      <c r="I380" s="78">
        <f t="shared" si="86"/>
        <v>165.74501360945152</v>
      </c>
      <c r="J380" s="76">
        <f t="shared" si="91"/>
        <v>55318.472222222219</v>
      </c>
      <c r="K380" s="80">
        <f t="shared" si="87"/>
        <v>106.18926544136225</v>
      </c>
      <c r="L380" s="78">
        <f t="shared" si="92"/>
        <v>6.8111585332906976</v>
      </c>
      <c r="M380" s="59">
        <f t="shared" si="88"/>
        <v>27443.599179323617</v>
      </c>
      <c r="N380" s="80">
        <f t="shared" si="93"/>
        <v>82762.071401545836</v>
      </c>
      <c r="O380" s="54">
        <f t="shared" si="94"/>
        <v>31378.832447697121</v>
      </c>
      <c r="P380" s="54">
        <f t="shared" si="95"/>
        <v>3610.7805629999989</v>
      </c>
      <c r="Q380" s="54">
        <f t="shared" si="96"/>
        <v>598468.87355517782</v>
      </c>
      <c r="R380" s="54">
        <f t="shared" si="97"/>
        <v>226906.53085924574</v>
      </c>
      <c r="S380" s="54">
        <f t="shared" si="98"/>
        <v>515706.80215363199</v>
      </c>
      <c r="T380" s="81">
        <f t="shared" si="99"/>
        <v>195527.69841154863</v>
      </c>
      <c r="U380" s="82">
        <f t="shared" si="100"/>
        <v>2047</v>
      </c>
      <c r="V380" s="414">
        <v>25.8333333333333</v>
      </c>
      <c r="W380" s="185"/>
      <c r="X380" s="185"/>
    </row>
    <row r="381" spans="1:24" s="113" customFormat="1" x14ac:dyDescent="0.2">
      <c r="A381" s="73">
        <v>311</v>
      </c>
      <c r="B381" s="74">
        <f t="shared" si="83"/>
        <v>0</v>
      </c>
      <c r="C381" s="75">
        <f t="shared" si="84"/>
        <v>0</v>
      </c>
      <c r="D381" s="75">
        <f t="shared" si="85"/>
        <v>159.28389816204339</v>
      </c>
      <c r="E381" s="54">
        <f t="shared" si="89"/>
        <v>159.28389816204339</v>
      </c>
      <c r="F381" s="76">
        <f t="shared" si="102"/>
        <v>53558.541043688339</v>
      </c>
      <c r="G381" s="77">
        <f t="shared" si="101"/>
        <v>325.0289117714949</v>
      </c>
      <c r="H381" s="79">
        <f t="shared" si="90"/>
        <v>101083.99156093535</v>
      </c>
      <c r="I381" s="78">
        <f t="shared" si="86"/>
        <v>165.74501360945152</v>
      </c>
      <c r="J381" s="76">
        <f t="shared" si="91"/>
        <v>55318.472222222219</v>
      </c>
      <c r="K381" s="80">
        <f t="shared" si="87"/>
        <v>106.18926544136225</v>
      </c>
      <c r="L381" s="78">
        <f t="shared" si="92"/>
        <v>6.8111585332906976</v>
      </c>
      <c r="M381" s="59">
        <f t="shared" si="88"/>
        <v>27443.599179323617</v>
      </c>
      <c r="N381" s="80">
        <f t="shared" si="93"/>
        <v>82762.071401545836</v>
      </c>
      <c r="O381" s="54">
        <f t="shared" si="94"/>
        <v>31287.577014737468</v>
      </c>
      <c r="P381" s="54">
        <f t="shared" si="95"/>
        <v>3617.8275033333325</v>
      </c>
      <c r="Q381" s="54">
        <f t="shared" si="96"/>
        <v>599636.86877663119</v>
      </c>
      <c r="R381" s="54">
        <f t="shared" si="97"/>
        <v>226688.19659792189</v>
      </c>
      <c r="S381" s="54">
        <f t="shared" si="98"/>
        <v>516874.79737508536</v>
      </c>
      <c r="T381" s="81">
        <f t="shared" si="99"/>
        <v>195400.61958318442</v>
      </c>
      <c r="U381" s="82">
        <f t="shared" si="100"/>
        <v>2047</v>
      </c>
      <c r="V381" s="414">
        <v>25.9166666666666</v>
      </c>
      <c r="W381" s="185"/>
      <c r="X381" s="185"/>
    </row>
    <row r="382" spans="1:24" s="113" customFormat="1" x14ac:dyDescent="0.2">
      <c r="A382" s="73">
        <v>312</v>
      </c>
      <c r="B382" s="74">
        <f t="shared" si="83"/>
        <v>0</v>
      </c>
      <c r="C382" s="75">
        <f t="shared" si="84"/>
        <v>0</v>
      </c>
      <c r="D382" s="75">
        <f t="shared" si="85"/>
        <v>159.28389816204339</v>
      </c>
      <c r="E382" s="54">
        <f t="shared" si="89"/>
        <v>159.28389816204339</v>
      </c>
      <c r="F382" s="76">
        <f t="shared" si="102"/>
        <v>53717.824941850384</v>
      </c>
      <c r="G382" s="77">
        <f t="shared" si="101"/>
        <v>325.0289117714949</v>
      </c>
      <c r="H382" s="79">
        <f t="shared" si="90"/>
        <v>101409.02047270685</v>
      </c>
      <c r="I382" s="78">
        <f t="shared" si="86"/>
        <v>165.74501360945152</v>
      </c>
      <c r="J382" s="76">
        <f t="shared" si="91"/>
        <v>55318.472222222219</v>
      </c>
      <c r="K382" s="80">
        <f t="shared" si="87"/>
        <v>106.18926544136225</v>
      </c>
      <c r="L382" s="78">
        <f t="shared" si="92"/>
        <v>6.8111585332906976</v>
      </c>
      <c r="M382" s="59">
        <f t="shared" si="88"/>
        <v>27443.599179323617</v>
      </c>
      <c r="N382" s="80">
        <f t="shared" si="93"/>
        <v>82762.071401545836</v>
      </c>
      <c r="O382" s="54">
        <f t="shared" si="94"/>
        <v>31196.586969410018</v>
      </c>
      <c r="P382" s="54">
        <f t="shared" si="95"/>
        <v>3624.8744436666661</v>
      </c>
      <c r="Q382" s="54">
        <f t="shared" si="96"/>
        <v>600804.86399808456</v>
      </c>
      <c r="R382" s="54">
        <f t="shared" si="97"/>
        <v>226469.21317886104</v>
      </c>
      <c r="S382" s="54">
        <f t="shared" si="98"/>
        <v>518042.79259653873</v>
      </c>
      <c r="T382" s="81">
        <f t="shared" si="99"/>
        <v>195272.62620945103</v>
      </c>
      <c r="U382" s="82">
        <f t="shared" si="100"/>
        <v>2047</v>
      </c>
      <c r="V382" s="414">
        <v>26</v>
      </c>
      <c r="W382" s="185"/>
      <c r="X382" s="185"/>
    </row>
    <row r="383" spans="1:24" s="113" customFormat="1" x14ac:dyDescent="0.2">
      <c r="A383" s="73">
        <v>313</v>
      </c>
      <c r="B383" s="74">
        <f t="shared" si="83"/>
        <v>0</v>
      </c>
      <c r="C383" s="75">
        <f t="shared" si="84"/>
        <v>0</v>
      </c>
      <c r="D383" s="75">
        <f t="shared" si="85"/>
        <v>159.28389816204339</v>
      </c>
      <c r="E383" s="54">
        <f t="shared" si="89"/>
        <v>159.28389816204339</v>
      </c>
      <c r="F383" s="76">
        <f t="shared" si="102"/>
        <v>53877.108840012428</v>
      </c>
      <c r="G383" s="77">
        <f t="shared" si="101"/>
        <v>325.0289117714949</v>
      </c>
      <c r="H383" s="79">
        <f t="shared" si="90"/>
        <v>101734.04938447835</v>
      </c>
      <c r="I383" s="78">
        <f t="shared" si="86"/>
        <v>165.74501360945152</v>
      </c>
      <c r="J383" s="76">
        <f t="shared" si="91"/>
        <v>55318.472222222219</v>
      </c>
      <c r="K383" s="80">
        <f t="shared" si="87"/>
        <v>106.18926544136225</v>
      </c>
      <c r="L383" s="78">
        <f t="shared" si="92"/>
        <v>6.8111585332906976</v>
      </c>
      <c r="M383" s="59">
        <f t="shared" si="88"/>
        <v>27443.599179323617</v>
      </c>
      <c r="N383" s="80">
        <f t="shared" si="93"/>
        <v>82762.071401545836</v>
      </c>
      <c r="O383" s="54">
        <f t="shared" si="94"/>
        <v>31105.861539918595</v>
      </c>
      <c r="P383" s="54">
        <f t="shared" si="95"/>
        <v>3631.9213839999993</v>
      </c>
      <c r="Q383" s="54">
        <f t="shared" si="96"/>
        <v>601972.85921953793</v>
      </c>
      <c r="R383" s="54">
        <f t="shared" si="97"/>
        <v>226249.58622437416</v>
      </c>
      <c r="S383" s="54">
        <f t="shared" si="98"/>
        <v>519210.7878179921</v>
      </c>
      <c r="T383" s="81">
        <f t="shared" si="99"/>
        <v>195143.72468445558</v>
      </c>
      <c r="U383" s="376">
        <f t="shared" si="100"/>
        <v>2048</v>
      </c>
      <c r="V383" s="414">
        <v>26.0833333333333</v>
      </c>
      <c r="W383" s="185"/>
      <c r="X383" s="185"/>
    </row>
    <row r="384" spans="1:24" s="113" customFormat="1" x14ac:dyDescent="0.2">
      <c r="A384" s="73">
        <v>314</v>
      </c>
      <c r="B384" s="74">
        <f t="shared" si="83"/>
        <v>0</v>
      </c>
      <c r="C384" s="75">
        <f t="shared" si="84"/>
        <v>0</v>
      </c>
      <c r="D384" s="75">
        <f t="shared" si="85"/>
        <v>159.28389816204339</v>
      </c>
      <c r="E384" s="54">
        <f t="shared" si="89"/>
        <v>159.28389816204339</v>
      </c>
      <c r="F384" s="76">
        <f t="shared" si="102"/>
        <v>54036.392738174472</v>
      </c>
      <c r="G384" s="77">
        <f t="shared" si="101"/>
        <v>325.0289117714949</v>
      </c>
      <c r="H384" s="79">
        <f t="shared" si="90"/>
        <v>102059.07829624985</v>
      </c>
      <c r="I384" s="78">
        <f t="shared" si="86"/>
        <v>165.74501360945152</v>
      </c>
      <c r="J384" s="76">
        <f t="shared" si="91"/>
        <v>55318.472222222219</v>
      </c>
      <c r="K384" s="80">
        <f t="shared" si="87"/>
        <v>106.18926544136225</v>
      </c>
      <c r="L384" s="78">
        <f t="shared" si="92"/>
        <v>6.8111585332906976</v>
      </c>
      <c r="M384" s="59">
        <f t="shared" si="88"/>
        <v>27443.599179323617</v>
      </c>
      <c r="N384" s="80">
        <f t="shared" si="93"/>
        <v>82762.071401545836</v>
      </c>
      <c r="O384" s="54">
        <f t="shared" si="94"/>
        <v>31015.399956711528</v>
      </c>
      <c r="P384" s="54">
        <f t="shared" si="95"/>
        <v>3638.9683243333325</v>
      </c>
      <c r="Q384" s="54">
        <f t="shared" si="96"/>
        <v>603140.85444099118</v>
      </c>
      <c r="R384" s="54">
        <f t="shared" si="97"/>
        <v>226029.32132956097</v>
      </c>
      <c r="S384" s="54">
        <f t="shared" si="98"/>
        <v>520378.78303944535</v>
      </c>
      <c r="T384" s="81">
        <f t="shared" si="99"/>
        <v>195013.92137284944</v>
      </c>
      <c r="U384" s="82">
        <f t="shared" si="100"/>
        <v>2048</v>
      </c>
      <c r="V384" s="414">
        <v>26.1666666666666</v>
      </c>
      <c r="W384" s="185"/>
      <c r="X384" s="185"/>
    </row>
    <row r="385" spans="1:24" s="113" customFormat="1" x14ac:dyDescent="0.2">
      <c r="A385" s="73">
        <v>315</v>
      </c>
      <c r="B385" s="74">
        <f t="shared" si="83"/>
        <v>0</v>
      </c>
      <c r="C385" s="75">
        <f t="shared" si="84"/>
        <v>0</v>
      </c>
      <c r="D385" s="75">
        <f t="shared" si="85"/>
        <v>159.28389816204339</v>
      </c>
      <c r="E385" s="54">
        <f t="shared" si="89"/>
        <v>159.28389816204339</v>
      </c>
      <c r="F385" s="76">
        <f t="shared" si="102"/>
        <v>54195.676636336517</v>
      </c>
      <c r="G385" s="77">
        <f t="shared" si="101"/>
        <v>325.0289117714949</v>
      </c>
      <c r="H385" s="79">
        <f t="shared" si="90"/>
        <v>102384.10720802135</v>
      </c>
      <c r="I385" s="78">
        <f t="shared" si="86"/>
        <v>165.74501360945152</v>
      </c>
      <c r="J385" s="76">
        <f t="shared" si="91"/>
        <v>55318.472222222219</v>
      </c>
      <c r="K385" s="80">
        <f t="shared" si="87"/>
        <v>106.18926544136225</v>
      </c>
      <c r="L385" s="78">
        <f t="shared" si="92"/>
        <v>6.8111585332906976</v>
      </c>
      <c r="M385" s="59">
        <f t="shared" si="88"/>
        <v>27443.599179323617</v>
      </c>
      <c r="N385" s="80">
        <f t="shared" si="93"/>
        <v>82762.071401545836</v>
      </c>
      <c r="O385" s="54">
        <f t="shared" si="94"/>
        <v>30925.201452475139</v>
      </c>
      <c r="P385" s="54">
        <f t="shared" si="95"/>
        <v>3646.0152646666661</v>
      </c>
      <c r="Q385" s="54">
        <f t="shared" si="96"/>
        <v>604308.84966244455</v>
      </c>
      <c r="R385" s="54">
        <f t="shared" si="97"/>
        <v>225808.42406242079</v>
      </c>
      <c r="S385" s="54">
        <f t="shared" si="98"/>
        <v>521546.77826089872</v>
      </c>
      <c r="T385" s="81">
        <f t="shared" si="99"/>
        <v>194883.22260994566</v>
      </c>
      <c r="U385" s="82">
        <f t="shared" si="100"/>
        <v>2048</v>
      </c>
      <c r="V385" s="414">
        <v>26.25</v>
      </c>
      <c r="W385" s="185"/>
      <c r="X385" s="185"/>
    </row>
    <row r="386" spans="1:24" s="113" customFormat="1" x14ac:dyDescent="0.2">
      <c r="A386" s="73">
        <v>316</v>
      </c>
      <c r="B386" s="74">
        <f t="shared" si="83"/>
        <v>0</v>
      </c>
      <c r="C386" s="75">
        <f t="shared" si="84"/>
        <v>0</v>
      </c>
      <c r="D386" s="75">
        <f t="shared" si="85"/>
        <v>159.28389816204339</v>
      </c>
      <c r="E386" s="54">
        <f t="shared" si="89"/>
        <v>159.28389816204339</v>
      </c>
      <c r="F386" s="76">
        <f t="shared" si="102"/>
        <v>54354.960534498561</v>
      </c>
      <c r="G386" s="77">
        <f t="shared" si="101"/>
        <v>325.0289117714949</v>
      </c>
      <c r="H386" s="79">
        <f t="shared" si="90"/>
        <v>102709.13611979285</v>
      </c>
      <c r="I386" s="78">
        <f t="shared" si="86"/>
        <v>165.74501360945152</v>
      </c>
      <c r="J386" s="76">
        <f t="shared" si="91"/>
        <v>55318.472222222219</v>
      </c>
      <c r="K386" s="80">
        <f t="shared" si="87"/>
        <v>106.18926544136225</v>
      </c>
      <c r="L386" s="78">
        <f t="shared" si="92"/>
        <v>6.8111585332906976</v>
      </c>
      <c r="M386" s="59">
        <f t="shared" si="88"/>
        <v>27443.599179323617</v>
      </c>
      <c r="N386" s="80">
        <f t="shared" si="93"/>
        <v>82762.071401545836</v>
      </c>
      <c r="O386" s="54">
        <f t="shared" si="94"/>
        <v>30835.265262127257</v>
      </c>
      <c r="P386" s="54">
        <f t="shared" si="95"/>
        <v>3653.0622049999993</v>
      </c>
      <c r="Q386" s="54">
        <f t="shared" si="96"/>
        <v>605476.84488389781</v>
      </c>
      <c r="R386" s="54">
        <f t="shared" si="97"/>
        <v>225586.89996396282</v>
      </c>
      <c r="S386" s="54">
        <f t="shared" si="98"/>
        <v>522714.77348235197</v>
      </c>
      <c r="T386" s="81">
        <f t="shared" si="99"/>
        <v>194751.63470183557</v>
      </c>
      <c r="U386" s="82">
        <f t="shared" si="100"/>
        <v>2048</v>
      </c>
      <c r="V386" s="414">
        <v>26.3333333333333</v>
      </c>
      <c r="W386" s="185"/>
      <c r="X386" s="185"/>
    </row>
    <row r="387" spans="1:24" s="113" customFormat="1" x14ac:dyDescent="0.2">
      <c r="A387" s="73">
        <v>317</v>
      </c>
      <c r="B387" s="74">
        <f t="shared" si="83"/>
        <v>0</v>
      </c>
      <c r="C387" s="75">
        <f t="shared" si="84"/>
        <v>0</v>
      </c>
      <c r="D387" s="75">
        <f t="shared" si="85"/>
        <v>159.28389816204339</v>
      </c>
      <c r="E387" s="54">
        <f t="shared" si="89"/>
        <v>159.28389816204339</v>
      </c>
      <c r="F387" s="76">
        <f t="shared" si="102"/>
        <v>54514.244432660606</v>
      </c>
      <c r="G387" s="77">
        <f t="shared" si="101"/>
        <v>325.0289117714949</v>
      </c>
      <c r="H387" s="79">
        <f t="shared" si="90"/>
        <v>103034.16503156435</v>
      </c>
      <c r="I387" s="78">
        <f t="shared" si="86"/>
        <v>165.74501360945152</v>
      </c>
      <c r="J387" s="76">
        <f t="shared" si="91"/>
        <v>55318.472222222219</v>
      </c>
      <c r="K387" s="80">
        <f t="shared" si="87"/>
        <v>106.18926544136225</v>
      </c>
      <c r="L387" s="78">
        <f t="shared" si="92"/>
        <v>6.8111585332906976</v>
      </c>
      <c r="M387" s="59">
        <f t="shared" si="88"/>
        <v>27443.599179323617</v>
      </c>
      <c r="N387" s="80">
        <f t="shared" si="93"/>
        <v>82762.071401545836</v>
      </c>
      <c r="O387" s="54">
        <f t="shared" si="94"/>
        <v>30745.590622810734</v>
      </c>
      <c r="P387" s="54">
        <f t="shared" si="95"/>
        <v>3660.1091453333329</v>
      </c>
      <c r="Q387" s="54">
        <f t="shared" si="96"/>
        <v>606644.84010535118</v>
      </c>
      <c r="R387" s="54">
        <f t="shared" si="97"/>
        <v>225364.75454831627</v>
      </c>
      <c r="S387" s="54">
        <f t="shared" si="98"/>
        <v>523882.76870380534</v>
      </c>
      <c r="T387" s="81">
        <f t="shared" si="99"/>
        <v>194619.16392550553</v>
      </c>
      <c r="U387" s="82">
        <f t="shared" si="100"/>
        <v>2048</v>
      </c>
      <c r="V387" s="414">
        <v>26.4166666666666</v>
      </c>
      <c r="W387" s="185"/>
      <c r="X387" s="185"/>
    </row>
    <row r="388" spans="1:24" s="113" customFormat="1" x14ac:dyDescent="0.2">
      <c r="A388" s="73">
        <v>318</v>
      </c>
      <c r="B388" s="74">
        <f t="shared" si="83"/>
        <v>0</v>
      </c>
      <c r="C388" s="75">
        <f t="shared" si="84"/>
        <v>0</v>
      </c>
      <c r="D388" s="75">
        <f t="shared" si="85"/>
        <v>159.28389816204339</v>
      </c>
      <c r="E388" s="54">
        <f t="shared" si="89"/>
        <v>159.28389816204339</v>
      </c>
      <c r="F388" s="76">
        <f t="shared" si="102"/>
        <v>54673.52833082265</v>
      </c>
      <c r="G388" s="77">
        <f t="shared" si="101"/>
        <v>325.0289117714949</v>
      </c>
      <c r="H388" s="79">
        <f t="shared" si="90"/>
        <v>103359.19394333585</v>
      </c>
      <c r="I388" s="78">
        <f t="shared" si="86"/>
        <v>165.74501360945152</v>
      </c>
      <c r="J388" s="76">
        <f t="shared" si="91"/>
        <v>55318.472222222219</v>
      </c>
      <c r="K388" s="80">
        <f t="shared" si="87"/>
        <v>106.18926544136225</v>
      </c>
      <c r="L388" s="78">
        <f t="shared" si="92"/>
        <v>6.8111585332906976</v>
      </c>
      <c r="M388" s="59">
        <f t="shared" si="88"/>
        <v>27443.599179323617</v>
      </c>
      <c r="N388" s="80">
        <f t="shared" si="93"/>
        <v>82762.071401545836</v>
      </c>
      <c r="O388" s="54">
        <f t="shared" si="94"/>
        <v>30656.176773886895</v>
      </c>
      <c r="P388" s="54">
        <f t="shared" si="95"/>
        <v>3667.1560856666656</v>
      </c>
      <c r="Q388" s="54">
        <f t="shared" si="96"/>
        <v>607812.83532680443</v>
      </c>
      <c r="R388" s="54">
        <f t="shared" si="97"/>
        <v>225141.99330283905</v>
      </c>
      <c r="S388" s="54">
        <f t="shared" si="98"/>
        <v>525050.76392525854</v>
      </c>
      <c r="T388" s="81">
        <f t="shared" si="99"/>
        <v>194485.81652895216</v>
      </c>
      <c r="U388" s="82">
        <f t="shared" si="100"/>
        <v>2048</v>
      </c>
      <c r="V388" s="414">
        <v>26.5</v>
      </c>
      <c r="W388" s="185"/>
      <c r="X388" s="185"/>
    </row>
    <row r="389" spans="1:24" s="113" customFormat="1" x14ac:dyDescent="0.2">
      <c r="A389" s="73">
        <v>319</v>
      </c>
      <c r="B389" s="74">
        <f t="shared" si="83"/>
        <v>0</v>
      </c>
      <c r="C389" s="75">
        <f t="shared" si="84"/>
        <v>0</v>
      </c>
      <c r="D389" s="75">
        <f t="shared" si="85"/>
        <v>159.28389816204339</v>
      </c>
      <c r="E389" s="54">
        <f t="shared" si="89"/>
        <v>159.28389816204339</v>
      </c>
      <c r="F389" s="76">
        <f t="shared" si="102"/>
        <v>54832.812228984694</v>
      </c>
      <c r="G389" s="77">
        <f t="shared" si="101"/>
        <v>325.0289117714949</v>
      </c>
      <c r="H389" s="79">
        <f t="shared" si="90"/>
        <v>103684.22285510735</v>
      </c>
      <c r="I389" s="78">
        <f t="shared" si="86"/>
        <v>165.74501360945152</v>
      </c>
      <c r="J389" s="76">
        <f t="shared" si="91"/>
        <v>55318.472222222219</v>
      </c>
      <c r="K389" s="80">
        <f t="shared" si="87"/>
        <v>106.18926544136225</v>
      </c>
      <c r="L389" s="78">
        <f t="shared" si="92"/>
        <v>6.8111585332906976</v>
      </c>
      <c r="M389" s="59">
        <f t="shared" si="88"/>
        <v>27443.599179323617</v>
      </c>
      <c r="N389" s="80">
        <f t="shared" si="93"/>
        <v>82762.071401545836</v>
      </c>
      <c r="O389" s="54">
        <f t="shared" si="94"/>
        <v>30567.022956929195</v>
      </c>
      <c r="P389" s="54">
        <f t="shared" si="95"/>
        <v>3674.2030259999992</v>
      </c>
      <c r="Q389" s="54">
        <f t="shared" si="96"/>
        <v>608980.8305482578</v>
      </c>
      <c r="R389" s="54">
        <f t="shared" si="97"/>
        <v>224918.62168822801</v>
      </c>
      <c r="S389" s="54">
        <f t="shared" si="98"/>
        <v>526218.75914671202</v>
      </c>
      <c r="T389" s="81">
        <f t="shared" si="99"/>
        <v>194351.59873129884</v>
      </c>
      <c r="U389" s="82">
        <f t="shared" si="100"/>
        <v>2048</v>
      </c>
      <c r="V389" s="414">
        <v>26.5833333333333</v>
      </c>
      <c r="W389" s="185"/>
      <c r="X389" s="185"/>
    </row>
    <row r="390" spans="1:24" s="113" customFormat="1" x14ac:dyDescent="0.2">
      <c r="A390" s="73">
        <v>320</v>
      </c>
      <c r="B390" s="74">
        <f t="shared" si="83"/>
        <v>0</v>
      </c>
      <c r="C390" s="75">
        <f t="shared" si="84"/>
        <v>0</v>
      </c>
      <c r="D390" s="75">
        <f t="shared" si="85"/>
        <v>159.28389816204339</v>
      </c>
      <c r="E390" s="54">
        <f t="shared" si="89"/>
        <v>159.28389816204339</v>
      </c>
      <c r="F390" s="76">
        <f t="shared" si="102"/>
        <v>54992.096127146739</v>
      </c>
      <c r="G390" s="77">
        <f t="shared" si="101"/>
        <v>325.0289117714949</v>
      </c>
      <c r="H390" s="79">
        <f t="shared" si="90"/>
        <v>104009.25176687885</v>
      </c>
      <c r="I390" s="78">
        <f t="shared" si="86"/>
        <v>165.74501360945152</v>
      </c>
      <c r="J390" s="76">
        <f t="shared" si="91"/>
        <v>55318.472222222219</v>
      </c>
      <c r="K390" s="80">
        <f t="shared" si="87"/>
        <v>106.18926544136225</v>
      </c>
      <c r="L390" s="78">
        <f t="shared" si="92"/>
        <v>6.8111585332906976</v>
      </c>
      <c r="M390" s="59">
        <f t="shared" si="88"/>
        <v>27443.599179323617</v>
      </c>
      <c r="N390" s="80">
        <f t="shared" si="93"/>
        <v>82762.071401545836</v>
      </c>
      <c r="O390" s="54">
        <f t="shared" si="94"/>
        <v>30478.128415716677</v>
      </c>
      <c r="P390" s="54">
        <f t="shared" si="95"/>
        <v>3681.2499663333324</v>
      </c>
      <c r="Q390" s="54">
        <f t="shared" si="96"/>
        <v>610148.82576971117</v>
      </c>
      <c r="R390" s="54">
        <f t="shared" si="97"/>
        <v>224694.64513862634</v>
      </c>
      <c r="S390" s="54">
        <f t="shared" si="98"/>
        <v>527386.75436816528</v>
      </c>
      <c r="T390" s="81">
        <f t="shared" si="99"/>
        <v>194216.51672290964</v>
      </c>
      <c r="U390" s="82">
        <f t="shared" si="100"/>
        <v>2048</v>
      </c>
      <c r="V390" s="414">
        <v>26.6666666666666</v>
      </c>
      <c r="W390" s="185"/>
      <c r="X390" s="185"/>
    </row>
    <row r="391" spans="1:24" s="113" customFormat="1" x14ac:dyDescent="0.2">
      <c r="A391" s="73">
        <v>321</v>
      </c>
      <c r="B391" s="74">
        <f t="shared" ref="B391:B430" si="103">IF(A391&lt;=$B$60, ($B$60-A391+1)*$B$61*$B$58, 0)</f>
        <v>0</v>
      </c>
      <c r="C391" s="75">
        <f t="shared" ref="C391:C430" si="104">IF(A391&lt;=$B$60, ($B$60-A391+1)*$B$62*(A391-0.5)*$B$58^2, 0)</f>
        <v>0</v>
      </c>
      <c r="D391" s="75">
        <f t="shared" ref="D391:D430" si="105">IF(A391&lt;=$B$60, $B$62*($B$58^2)*((A391-1)^2)/2, $B$62*($B$58^2)*(($B$60)^2)/2)</f>
        <v>159.28389816204339</v>
      </c>
      <c r="E391" s="54">
        <f t="shared" si="89"/>
        <v>159.28389816204339</v>
      </c>
      <c r="F391" s="76">
        <f t="shared" si="102"/>
        <v>55151.380025308783</v>
      </c>
      <c r="G391" s="77">
        <f t="shared" si="101"/>
        <v>325.0289117714949</v>
      </c>
      <c r="H391" s="79">
        <f t="shared" si="90"/>
        <v>104334.28067865035</v>
      </c>
      <c r="I391" s="78">
        <f t="shared" ref="I391:I430" si="106">G391-E391</f>
        <v>165.74501360945152</v>
      </c>
      <c r="J391" s="76">
        <f t="shared" si="91"/>
        <v>55318.472222222219</v>
      </c>
      <c r="K391" s="80">
        <f t="shared" ref="K391:K430" si="107">IF(A391&lt;=$B$60,$B$29/$B$60+A391*$B$58*$B$62,$B$62*$B$58*$B$60)</f>
        <v>106.18926544136225</v>
      </c>
      <c r="L391" s="78">
        <f t="shared" si="92"/>
        <v>6.8111585332906976</v>
      </c>
      <c r="M391" s="59">
        <f t="shared" ref="M391:M430" si="108">(K391/$B$29/$B$50)*($B$35*$B$51+$B$38*$B$52)</f>
        <v>27443.599179323617</v>
      </c>
      <c r="N391" s="80">
        <f t="shared" si="93"/>
        <v>82762.071401545836</v>
      </c>
      <c r="O391" s="54">
        <f t="shared" si="94"/>
        <v>30389.492396227684</v>
      </c>
      <c r="P391" s="54">
        <f t="shared" si="95"/>
        <v>3688.296906666666</v>
      </c>
      <c r="Q391" s="54">
        <f t="shared" si="96"/>
        <v>611316.82099116454</v>
      </c>
      <c r="R391" s="54">
        <f t="shared" si="97"/>
        <v>224470.06906173305</v>
      </c>
      <c r="S391" s="54">
        <f t="shared" si="98"/>
        <v>528554.74958961876</v>
      </c>
      <c r="T391" s="81">
        <f t="shared" si="99"/>
        <v>194080.57666550539</v>
      </c>
      <c r="U391" s="82">
        <f t="shared" si="100"/>
        <v>2048</v>
      </c>
      <c r="V391" s="414">
        <v>26.75</v>
      </c>
      <c r="W391" s="185"/>
      <c r="X391" s="185"/>
    </row>
    <row r="392" spans="1:24" s="113" customFormat="1" x14ac:dyDescent="0.2">
      <c r="A392" s="73">
        <v>322</v>
      </c>
      <c r="B392" s="74">
        <f t="shared" si="103"/>
        <v>0</v>
      </c>
      <c r="C392" s="75">
        <f t="shared" si="104"/>
        <v>0</v>
      </c>
      <c r="D392" s="75">
        <f t="shared" si="105"/>
        <v>159.28389816204339</v>
      </c>
      <c r="E392" s="54">
        <f t="shared" ref="E392:E430" si="109">SUM(B392:D392)</f>
        <v>159.28389816204339</v>
      </c>
      <c r="F392" s="76">
        <f t="shared" si="102"/>
        <v>55310.663923470827</v>
      </c>
      <c r="G392" s="77">
        <f t="shared" si="101"/>
        <v>325.0289117714949</v>
      </c>
      <c r="H392" s="79">
        <f t="shared" ref="H392:H430" si="110">G392+H391</f>
        <v>104659.30959042185</v>
      </c>
      <c r="I392" s="78">
        <f t="shared" si="106"/>
        <v>165.74501360945152</v>
      </c>
      <c r="J392" s="76">
        <f t="shared" ref="J392:J430" si="111">$B$63</f>
        <v>55318.472222222219</v>
      </c>
      <c r="K392" s="80">
        <f t="shared" si="107"/>
        <v>106.18926544136225</v>
      </c>
      <c r="L392" s="78">
        <f t="shared" ref="L392:L430" si="112">K392/$B$29*($B$35+$B$38)</f>
        <v>6.8111585332906976</v>
      </c>
      <c r="M392" s="59">
        <f t="shared" si="108"/>
        <v>27443.599179323617</v>
      </c>
      <c r="N392" s="80">
        <f t="shared" ref="N392:N430" si="113">J392+M392</f>
        <v>82762.071401545836</v>
      </c>
      <c r="O392" s="54">
        <f t="shared" ref="O392:O430" si="114">N392/((1+$B$41*$B$58)^((24+A392-1)))</f>
        <v>30301.114146633332</v>
      </c>
      <c r="P392" s="54">
        <f t="shared" ref="P392:P430" si="115">$P$71*(1+$B$44*(A392-1)*$B$58)</f>
        <v>3695.3438469999992</v>
      </c>
      <c r="Q392" s="54">
        <f t="shared" ref="Q392:Q430" si="116">(G392-E392)*P392</f>
        <v>612484.81621261779</v>
      </c>
      <c r="R392" s="54">
        <f t="shared" ref="R392:R430" si="117">Q392/((1+$B$41*$B$58)^((24+A392-1)))</f>
        <v>224244.89883890972</v>
      </c>
      <c r="S392" s="54">
        <f t="shared" ref="S392:S430" si="118">Q392-N392</f>
        <v>529722.74481107201</v>
      </c>
      <c r="T392" s="81">
        <f t="shared" ref="T392:T430" si="119">S392/((1+$B$41*$B$58)^((24+A392-1)))</f>
        <v>193943.78469227641</v>
      </c>
      <c r="U392" s="82">
        <f t="shared" ref="U392:U430" si="120">IF(MOD(A391,12)=0,U391+1,U391)</f>
        <v>2048</v>
      </c>
      <c r="V392" s="414">
        <v>26.8333333333333</v>
      </c>
      <c r="W392" s="185"/>
      <c r="X392" s="185"/>
    </row>
    <row r="393" spans="1:24" s="113" customFormat="1" x14ac:dyDescent="0.2">
      <c r="A393" s="73">
        <v>323</v>
      </c>
      <c r="B393" s="74">
        <f t="shared" si="103"/>
        <v>0</v>
      </c>
      <c r="C393" s="75">
        <f t="shared" si="104"/>
        <v>0</v>
      </c>
      <c r="D393" s="75">
        <f t="shared" si="105"/>
        <v>159.28389816204339</v>
      </c>
      <c r="E393" s="54">
        <f t="shared" si="109"/>
        <v>159.28389816204339</v>
      </c>
      <c r="F393" s="76">
        <f t="shared" si="102"/>
        <v>55469.947821632872</v>
      </c>
      <c r="G393" s="77">
        <f t="shared" ref="G393:G430" si="121">G392</f>
        <v>325.0289117714949</v>
      </c>
      <c r="H393" s="79">
        <f t="shared" si="110"/>
        <v>104984.33850219335</v>
      </c>
      <c r="I393" s="78">
        <f t="shared" si="106"/>
        <v>165.74501360945152</v>
      </c>
      <c r="J393" s="76">
        <f t="shared" si="111"/>
        <v>55318.472222222219</v>
      </c>
      <c r="K393" s="80">
        <f t="shared" si="107"/>
        <v>106.18926544136225</v>
      </c>
      <c r="L393" s="78">
        <f t="shared" si="112"/>
        <v>6.8111585332906976</v>
      </c>
      <c r="M393" s="59">
        <f t="shared" si="108"/>
        <v>27443.599179323617</v>
      </c>
      <c r="N393" s="80">
        <f t="shared" si="113"/>
        <v>82762.071401545836</v>
      </c>
      <c r="O393" s="54">
        <f t="shared" si="114"/>
        <v>30212.992917291234</v>
      </c>
      <c r="P393" s="54">
        <f t="shared" si="115"/>
        <v>3702.3907873333324</v>
      </c>
      <c r="Q393" s="54">
        <f t="shared" si="116"/>
        <v>613652.81143407105</v>
      </c>
      <c r="R393" s="54">
        <f t="shared" si="117"/>
        <v>224019.1398252889</v>
      </c>
      <c r="S393" s="54">
        <f t="shared" si="118"/>
        <v>530890.74003252527</v>
      </c>
      <c r="T393" s="81">
        <f t="shared" si="119"/>
        <v>193806.1469079977</v>
      </c>
      <c r="U393" s="82">
        <f t="shared" si="120"/>
        <v>2048</v>
      </c>
      <c r="V393" s="414">
        <v>26.9166666666666</v>
      </c>
      <c r="W393" s="185"/>
      <c r="X393" s="185"/>
    </row>
    <row r="394" spans="1:24" s="113" customFormat="1" x14ac:dyDescent="0.2">
      <c r="A394" s="73">
        <v>324</v>
      </c>
      <c r="B394" s="74">
        <f t="shared" si="103"/>
        <v>0</v>
      </c>
      <c r="C394" s="75">
        <f t="shared" si="104"/>
        <v>0</v>
      </c>
      <c r="D394" s="75">
        <f t="shared" si="105"/>
        <v>159.28389816204339</v>
      </c>
      <c r="E394" s="54">
        <f t="shared" si="109"/>
        <v>159.28389816204339</v>
      </c>
      <c r="F394" s="76">
        <f t="shared" ref="F394:F430" si="122">E394+F393</f>
        <v>55629.231719794916</v>
      </c>
      <c r="G394" s="77">
        <f t="shared" si="121"/>
        <v>325.0289117714949</v>
      </c>
      <c r="H394" s="79">
        <f t="shared" si="110"/>
        <v>105309.36741396485</v>
      </c>
      <c r="I394" s="78">
        <f t="shared" si="106"/>
        <v>165.74501360945152</v>
      </c>
      <c r="J394" s="76">
        <f t="shared" si="111"/>
        <v>55318.472222222219</v>
      </c>
      <c r="K394" s="80">
        <f t="shared" si="107"/>
        <v>106.18926544136225</v>
      </c>
      <c r="L394" s="78">
        <f t="shared" si="112"/>
        <v>6.8111585332906976</v>
      </c>
      <c r="M394" s="59">
        <f t="shared" si="108"/>
        <v>27443.599179323617</v>
      </c>
      <c r="N394" s="80">
        <f t="shared" si="113"/>
        <v>82762.071401545836</v>
      </c>
      <c r="O394" s="54">
        <f t="shared" si="114"/>
        <v>30125.127960739072</v>
      </c>
      <c r="P394" s="54">
        <f t="shared" si="115"/>
        <v>3709.437727666666</v>
      </c>
      <c r="Q394" s="54">
        <f t="shared" si="116"/>
        <v>614820.80665552441</v>
      </c>
      <c r="R394" s="54">
        <f t="shared" si="117"/>
        <v>223792.79734988051</v>
      </c>
      <c r="S394" s="54">
        <f t="shared" si="118"/>
        <v>532058.73525397852</v>
      </c>
      <c r="T394" s="81">
        <f t="shared" si="119"/>
        <v>193667.66938914143</v>
      </c>
      <c r="U394" s="82">
        <f t="shared" si="120"/>
        <v>2048</v>
      </c>
      <c r="V394" s="414">
        <v>27</v>
      </c>
      <c r="W394" s="185"/>
      <c r="X394" s="185"/>
    </row>
    <row r="395" spans="1:24" s="113" customFormat="1" x14ac:dyDescent="0.2">
      <c r="A395" s="73">
        <v>325</v>
      </c>
      <c r="B395" s="74">
        <f t="shared" si="103"/>
        <v>0</v>
      </c>
      <c r="C395" s="75">
        <f t="shared" si="104"/>
        <v>0</v>
      </c>
      <c r="D395" s="75">
        <f t="shared" si="105"/>
        <v>159.28389816204339</v>
      </c>
      <c r="E395" s="54">
        <f t="shared" si="109"/>
        <v>159.28389816204339</v>
      </c>
      <c r="F395" s="76">
        <f t="shared" si="122"/>
        <v>55788.51561795696</v>
      </c>
      <c r="G395" s="77">
        <f t="shared" si="121"/>
        <v>325.0289117714949</v>
      </c>
      <c r="H395" s="79">
        <f t="shared" si="110"/>
        <v>105634.39632573635</v>
      </c>
      <c r="I395" s="78">
        <f t="shared" si="106"/>
        <v>165.74501360945152</v>
      </c>
      <c r="J395" s="76">
        <f t="shared" si="111"/>
        <v>55318.472222222219</v>
      </c>
      <c r="K395" s="80">
        <f t="shared" si="107"/>
        <v>106.18926544136225</v>
      </c>
      <c r="L395" s="78">
        <f t="shared" si="112"/>
        <v>6.8111585332906976</v>
      </c>
      <c r="M395" s="59">
        <f t="shared" si="108"/>
        <v>27443.599179323617</v>
      </c>
      <c r="N395" s="80">
        <f t="shared" si="113"/>
        <v>82762.071401545836</v>
      </c>
      <c r="O395" s="54">
        <f t="shared" si="114"/>
        <v>30037.518531688322</v>
      </c>
      <c r="P395" s="54">
        <f t="shared" si="115"/>
        <v>3716.4846679999996</v>
      </c>
      <c r="Q395" s="54">
        <f t="shared" si="116"/>
        <v>615988.8018769779</v>
      </c>
      <c r="R395" s="54">
        <f t="shared" si="117"/>
        <v>223565.8767156789</v>
      </c>
      <c r="S395" s="54">
        <f t="shared" si="118"/>
        <v>533226.73047543201</v>
      </c>
      <c r="T395" s="81">
        <f t="shared" si="119"/>
        <v>193528.35818399055</v>
      </c>
      <c r="U395" s="376">
        <f t="shared" si="120"/>
        <v>2049</v>
      </c>
      <c r="V395" s="414">
        <v>27.0833333333333</v>
      </c>
      <c r="W395" s="185"/>
      <c r="X395" s="185"/>
    </row>
    <row r="396" spans="1:24" s="113" customFormat="1" x14ac:dyDescent="0.2">
      <c r="A396" s="73">
        <v>326</v>
      </c>
      <c r="B396" s="74">
        <f t="shared" si="103"/>
        <v>0</v>
      </c>
      <c r="C396" s="75">
        <f t="shared" si="104"/>
        <v>0</v>
      </c>
      <c r="D396" s="75">
        <f t="shared" si="105"/>
        <v>159.28389816204339</v>
      </c>
      <c r="E396" s="54">
        <f t="shared" si="109"/>
        <v>159.28389816204339</v>
      </c>
      <c r="F396" s="76">
        <f t="shared" si="122"/>
        <v>55947.799516119005</v>
      </c>
      <c r="G396" s="77">
        <f t="shared" si="121"/>
        <v>325.0289117714949</v>
      </c>
      <c r="H396" s="79">
        <f t="shared" si="110"/>
        <v>105959.42523750785</v>
      </c>
      <c r="I396" s="78">
        <f t="shared" si="106"/>
        <v>165.74501360945152</v>
      </c>
      <c r="J396" s="76">
        <f t="shared" si="111"/>
        <v>55318.472222222219</v>
      </c>
      <c r="K396" s="80">
        <f t="shared" si="107"/>
        <v>106.18926544136225</v>
      </c>
      <c r="L396" s="78">
        <f t="shared" si="112"/>
        <v>6.8111585332906976</v>
      </c>
      <c r="M396" s="59">
        <f t="shared" si="108"/>
        <v>27443.599179323617</v>
      </c>
      <c r="N396" s="80">
        <f t="shared" si="113"/>
        <v>82762.071401545836</v>
      </c>
      <c r="O396" s="54">
        <f t="shared" si="114"/>
        <v>29950.16388701785</v>
      </c>
      <c r="P396" s="54">
        <f t="shared" si="115"/>
        <v>3723.5316083333328</v>
      </c>
      <c r="Q396" s="54">
        <f t="shared" si="116"/>
        <v>617156.79709843115</v>
      </c>
      <c r="R396" s="54">
        <f t="shared" si="117"/>
        <v>223338.38319976837</v>
      </c>
      <c r="S396" s="54">
        <f t="shared" si="118"/>
        <v>534394.72569688526</v>
      </c>
      <c r="T396" s="81">
        <f t="shared" si="119"/>
        <v>193388.2193127505</v>
      </c>
      <c r="U396" s="82">
        <f t="shared" si="120"/>
        <v>2049</v>
      </c>
      <c r="V396" s="414">
        <v>27.1666666666666</v>
      </c>
      <c r="W396" s="185"/>
      <c r="X396" s="185"/>
    </row>
    <row r="397" spans="1:24" s="113" customFormat="1" x14ac:dyDescent="0.2">
      <c r="A397" s="73">
        <v>327</v>
      </c>
      <c r="B397" s="74">
        <f t="shared" si="103"/>
        <v>0</v>
      </c>
      <c r="C397" s="75">
        <f t="shared" si="104"/>
        <v>0</v>
      </c>
      <c r="D397" s="75">
        <f t="shared" si="105"/>
        <v>159.28389816204339</v>
      </c>
      <c r="E397" s="54">
        <f t="shared" si="109"/>
        <v>159.28389816204339</v>
      </c>
      <c r="F397" s="76">
        <f t="shared" si="122"/>
        <v>56107.083414281049</v>
      </c>
      <c r="G397" s="77">
        <f t="shared" si="121"/>
        <v>325.0289117714949</v>
      </c>
      <c r="H397" s="79">
        <f t="shared" si="110"/>
        <v>106284.45414927935</v>
      </c>
      <c r="I397" s="78">
        <f t="shared" si="106"/>
        <v>165.74501360945152</v>
      </c>
      <c r="J397" s="76">
        <f t="shared" si="111"/>
        <v>55318.472222222219</v>
      </c>
      <c r="K397" s="80">
        <f t="shared" si="107"/>
        <v>106.18926544136225</v>
      </c>
      <c r="L397" s="78">
        <f t="shared" si="112"/>
        <v>6.8111585332906976</v>
      </c>
      <c r="M397" s="59">
        <f t="shared" si="108"/>
        <v>27443.599179323617</v>
      </c>
      <c r="N397" s="80">
        <f t="shared" si="113"/>
        <v>82762.071401545836</v>
      </c>
      <c r="O397" s="54">
        <f t="shared" si="114"/>
        <v>29863.063285767697</v>
      </c>
      <c r="P397" s="54">
        <f t="shared" si="115"/>
        <v>3730.5785486666655</v>
      </c>
      <c r="Q397" s="54">
        <f t="shared" si="116"/>
        <v>618324.79231988441</v>
      </c>
      <c r="R397" s="54">
        <f t="shared" si="117"/>
        <v>223110.32205343019</v>
      </c>
      <c r="S397" s="54">
        <f t="shared" si="118"/>
        <v>535562.72091833851</v>
      </c>
      <c r="T397" s="81">
        <f t="shared" si="119"/>
        <v>193247.25876766248</v>
      </c>
      <c r="U397" s="82">
        <f t="shared" si="120"/>
        <v>2049</v>
      </c>
      <c r="V397" s="414">
        <v>27.25</v>
      </c>
      <c r="W397" s="185"/>
      <c r="X397" s="185"/>
    </row>
    <row r="398" spans="1:24" s="113" customFormat="1" x14ac:dyDescent="0.2">
      <c r="A398" s="73">
        <v>328</v>
      </c>
      <c r="B398" s="74">
        <f t="shared" si="103"/>
        <v>0</v>
      </c>
      <c r="C398" s="75">
        <f t="shared" si="104"/>
        <v>0</v>
      </c>
      <c r="D398" s="75">
        <f t="shared" si="105"/>
        <v>159.28389816204339</v>
      </c>
      <c r="E398" s="54">
        <f t="shared" si="109"/>
        <v>159.28389816204339</v>
      </c>
      <c r="F398" s="76">
        <f t="shared" si="122"/>
        <v>56266.367312443093</v>
      </c>
      <c r="G398" s="77">
        <f t="shared" si="121"/>
        <v>325.0289117714949</v>
      </c>
      <c r="H398" s="79">
        <f t="shared" si="110"/>
        <v>106609.48306105085</v>
      </c>
      <c r="I398" s="78">
        <f t="shared" si="106"/>
        <v>165.74501360945152</v>
      </c>
      <c r="J398" s="76">
        <f t="shared" si="111"/>
        <v>55318.472222222219</v>
      </c>
      <c r="K398" s="80">
        <f t="shared" si="107"/>
        <v>106.18926544136225</v>
      </c>
      <c r="L398" s="78">
        <f t="shared" si="112"/>
        <v>6.8111585332906976</v>
      </c>
      <c r="M398" s="59">
        <f t="shared" si="108"/>
        <v>27443.599179323617</v>
      </c>
      <c r="N398" s="80">
        <f t="shared" si="113"/>
        <v>82762.071401545836</v>
      </c>
      <c r="O398" s="54">
        <f t="shared" si="114"/>
        <v>29776.215989132717</v>
      </c>
      <c r="P398" s="54">
        <f t="shared" si="115"/>
        <v>3737.6254889999991</v>
      </c>
      <c r="Q398" s="54">
        <f t="shared" si="116"/>
        <v>619492.78754133778</v>
      </c>
      <c r="R398" s="54">
        <f t="shared" si="117"/>
        <v>222881.69850224702</v>
      </c>
      <c r="S398" s="54">
        <f t="shared" si="118"/>
        <v>536730.716139792</v>
      </c>
      <c r="T398" s="81">
        <f t="shared" si="119"/>
        <v>193105.48251311432</v>
      </c>
      <c r="U398" s="82">
        <f t="shared" si="120"/>
        <v>2049</v>
      </c>
      <c r="V398" s="414">
        <v>27.3333333333333</v>
      </c>
      <c r="W398" s="185"/>
      <c r="X398" s="185"/>
    </row>
    <row r="399" spans="1:24" s="113" customFormat="1" x14ac:dyDescent="0.2">
      <c r="A399" s="73">
        <v>329</v>
      </c>
      <c r="B399" s="74">
        <f t="shared" si="103"/>
        <v>0</v>
      </c>
      <c r="C399" s="75">
        <f t="shared" si="104"/>
        <v>0</v>
      </c>
      <c r="D399" s="75">
        <f t="shared" si="105"/>
        <v>159.28389816204339</v>
      </c>
      <c r="E399" s="54">
        <f t="shared" si="109"/>
        <v>159.28389816204339</v>
      </c>
      <c r="F399" s="76">
        <f t="shared" si="122"/>
        <v>56425.651210605138</v>
      </c>
      <c r="G399" s="77">
        <f t="shared" si="121"/>
        <v>325.0289117714949</v>
      </c>
      <c r="H399" s="79">
        <f t="shared" si="110"/>
        <v>106934.51197282235</v>
      </c>
      <c r="I399" s="78">
        <f t="shared" si="106"/>
        <v>165.74501360945152</v>
      </c>
      <c r="J399" s="76">
        <f t="shared" si="111"/>
        <v>55318.472222222219</v>
      </c>
      <c r="K399" s="80">
        <f t="shared" si="107"/>
        <v>106.18926544136225</v>
      </c>
      <c r="L399" s="78">
        <f t="shared" si="112"/>
        <v>6.8111585332906976</v>
      </c>
      <c r="M399" s="59">
        <f t="shared" si="108"/>
        <v>27443.599179323617</v>
      </c>
      <c r="N399" s="80">
        <f t="shared" si="113"/>
        <v>82762.071401545836</v>
      </c>
      <c r="O399" s="54">
        <f t="shared" si="114"/>
        <v>29689.621260456403</v>
      </c>
      <c r="P399" s="54">
        <f t="shared" si="115"/>
        <v>3744.6724293333327</v>
      </c>
      <c r="Q399" s="54">
        <f t="shared" si="116"/>
        <v>620660.78276279115</v>
      </c>
      <c r="R399" s="54">
        <f t="shared" si="117"/>
        <v>222652.5177462087</v>
      </c>
      <c r="S399" s="54">
        <f t="shared" si="118"/>
        <v>537898.71136124525</v>
      </c>
      <c r="T399" s="81">
        <f t="shared" si="119"/>
        <v>192962.89648575228</v>
      </c>
      <c r="U399" s="82">
        <f t="shared" si="120"/>
        <v>2049</v>
      </c>
      <c r="V399" s="414">
        <v>27.4166666666666</v>
      </c>
      <c r="W399" s="185"/>
      <c r="X399" s="185"/>
    </row>
    <row r="400" spans="1:24" s="113" customFormat="1" x14ac:dyDescent="0.2">
      <c r="A400" s="73">
        <v>330</v>
      </c>
      <c r="B400" s="74">
        <f t="shared" si="103"/>
        <v>0</v>
      </c>
      <c r="C400" s="75">
        <f t="shared" si="104"/>
        <v>0</v>
      </c>
      <c r="D400" s="75">
        <f t="shared" si="105"/>
        <v>159.28389816204339</v>
      </c>
      <c r="E400" s="54">
        <f t="shared" si="109"/>
        <v>159.28389816204339</v>
      </c>
      <c r="F400" s="76">
        <f t="shared" si="122"/>
        <v>56584.935108767182</v>
      </c>
      <c r="G400" s="77">
        <f t="shared" si="121"/>
        <v>325.0289117714949</v>
      </c>
      <c r="H400" s="79">
        <f t="shared" si="110"/>
        <v>107259.54088459385</v>
      </c>
      <c r="I400" s="78">
        <f t="shared" si="106"/>
        <v>165.74501360945152</v>
      </c>
      <c r="J400" s="76">
        <f t="shared" si="111"/>
        <v>55318.472222222219</v>
      </c>
      <c r="K400" s="80">
        <f t="shared" si="107"/>
        <v>106.18926544136225</v>
      </c>
      <c r="L400" s="78">
        <f t="shared" si="112"/>
        <v>6.8111585332906976</v>
      </c>
      <c r="M400" s="59">
        <f t="shared" si="108"/>
        <v>27443.599179323617</v>
      </c>
      <c r="N400" s="80">
        <f t="shared" si="113"/>
        <v>82762.071401545836</v>
      </c>
      <c r="O400" s="54">
        <f t="shared" si="114"/>
        <v>29603.278365224494</v>
      </c>
      <c r="P400" s="54">
        <f t="shared" si="115"/>
        <v>3751.7193696666659</v>
      </c>
      <c r="Q400" s="54">
        <f t="shared" si="116"/>
        <v>621828.7779842444</v>
      </c>
      <c r="R400" s="54">
        <f t="shared" si="117"/>
        <v>222422.784959816</v>
      </c>
      <c r="S400" s="54">
        <f t="shared" si="118"/>
        <v>539066.70658269851</v>
      </c>
      <c r="T400" s="81">
        <f t="shared" si="119"/>
        <v>192819.50659459148</v>
      </c>
      <c r="U400" s="82">
        <f t="shared" si="120"/>
        <v>2049</v>
      </c>
      <c r="V400" s="414">
        <v>27.5</v>
      </c>
      <c r="W400" s="185"/>
      <c r="X400" s="185"/>
    </row>
    <row r="401" spans="1:24" s="113" customFormat="1" x14ac:dyDescent="0.2">
      <c r="A401" s="73">
        <v>331</v>
      </c>
      <c r="B401" s="74">
        <f t="shared" si="103"/>
        <v>0</v>
      </c>
      <c r="C401" s="75">
        <f t="shared" si="104"/>
        <v>0</v>
      </c>
      <c r="D401" s="75">
        <f t="shared" si="105"/>
        <v>159.28389816204339</v>
      </c>
      <c r="E401" s="54">
        <f t="shared" si="109"/>
        <v>159.28389816204339</v>
      </c>
      <c r="F401" s="76">
        <f t="shared" si="122"/>
        <v>56744.219006929226</v>
      </c>
      <c r="G401" s="77">
        <f t="shared" si="121"/>
        <v>325.0289117714949</v>
      </c>
      <c r="H401" s="79">
        <f t="shared" si="110"/>
        <v>107584.56979636535</v>
      </c>
      <c r="I401" s="78">
        <f t="shared" si="106"/>
        <v>165.74501360945152</v>
      </c>
      <c r="J401" s="76">
        <f t="shared" si="111"/>
        <v>55318.472222222219</v>
      </c>
      <c r="K401" s="80">
        <f t="shared" si="107"/>
        <v>106.18926544136225</v>
      </c>
      <c r="L401" s="78">
        <f t="shared" si="112"/>
        <v>6.8111585332906976</v>
      </c>
      <c r="M401" s="59">
        <f t="shared" si="108"/>
        <v>27443.599179323617</v>
      </c>
      <c r="N401" s="80">
        <f t="shared" si="113"/>
        <v>82762.071401545836</v>
      </c>
      <c r="O401" s="54">
        <f t="shared" si="114"/>
        <v>29517.186571058905</v>
      </c>
      <c r="P401" s="54">
        <f t="shared" si="115"/>
        <v>3758.7663099999991</v>
      </c>
      <c r="Q401" s="54">
        <f t="shared" si="116"/>
        <v>622996.77320569777</v>
      </c>
      <c r="R401" s="54">
        <f t="shared" si="117"/>
        <v>222192.50529218605</v>
      </c>
      <c r="S401" s="54">
        <f t="shared" si="118"/>
        <v>540234.70180415199</v>
      </c>
      <c r="T401" s="81">
        <f t="shared" si="119"/>
        <v>192675.31872112717</v>
      </c>
      <c r="U401" s="82">
        <f t="shared" si="120"/>
        <v>2049</v>
      </c>
      <c r="V401" s="414">
        <v>27.5833333333333</v>
      </c>
      <c r="W401" s="185"/>
      <c r="X401" s="185"/>
    </row>
    <row r="402" spans="1:24" s="113" customFormat="1" x14ac:dyDescent="0.2">
      <c r="A402" s="73">
        <v>332</v>
      </c>
      <c r="B402" s="74">
        <f t="shared" si="103"/>
        <v>0</v>
      </c>
      <c r="C402" s="75">
        <f t="shared" si="104"/>
        <v>0</v>
      </c>
      <c r="D402" s="75">
        <f t="shared" si="105"/>
        <v>159.28389816204339</v>
      </c>
      <c r="E402" s="54">
        <f t="shared" si="109"/>
        <v>159.28389816204339</v>
      </c>
      <c r="F402" s="76">
        <f t="shared" si="122"/>
        <v>56903.502905091271</v>
      </c>
      <c r="G402" s="77">
        <f t="shared" si="121"/>
        <v>325.0289117714949</v>
      </c>
      <c r="H402" s="79">
        <f t="shared" si="110"/>
        <v>107909.59870813685</v>
      </c>
      <c r="I402" s="78">
        <f t="shared" si="106"/>
        <v>165.74501360945152</v>
      </c>
      <c r="J402" s="76">
        <f t="shared" si="111"/>
        <v>55318.472222222219</v>
      </c>
      <c r="K402" s="80">
        <f t="shared" si="107"/>
        <v>106.18926544136225</v>
      </c>
      <c r="L402" s="78">
        <f t="shared" si="112"/>
        <v>6.8111585332906976</v>
      </c>
      <c r="M402" s="59">
        <f t="shared" si="108"/>
        <v>27443.599179323617</v>
      </c>
      <c r="N402" s="80">
        <f t="shared" si="113"/>
        <v>82762.071401545836</v>
      </c>
      <c r="O402" s="54">
        <f t="shared" si="114"/>
        <v>29431.345147711414</v>
      </c>
      <c r="P402" s="54">
        <f t="shared" si="115"/>
        <v>3765.8132503333327</v>
      </c>
      <c r="Q402" s="54">
        <f t="shared" si="116"/>
        <v>624164.76842715114</v>
      </c>
      <c r="R402" s="54">
        <f t="shared" si="117"/>
        <v>221961.68386715531</v>
      </c>
      <c r="S402" s="54">
        <f t="shared" si="118"/>
        <v>541402.69702560524</v>
      </c>
      <c r="T402" s="81">
        <f t="shared" si="119"/>
        <v>192530.33871944388</v>
      </c>
      <c r="U402" s="82">
        <f t="shared" si="120"/>
        <v>2049</v>
      </c>
      <c r="V402" s="414">
        <v>27.6666666666666</v>
      </c>
      <c r="W402" s="185"/>
      <c r="X402" s="185"/>
    </row>
    <row r="403" spans="1:24" s="113" customFormat="1" x14ac:dyDescent="0.2">
      <c r="A403" s="73">
        <v>333</v>
      </c>
      <c r="B403" s="74">
        <f t="shared" si="103"/>
        <v>0</v>
      </c>
      <c r="C403" s="75">
        <f t="shared" si="104"/>
        <v>0</v>
      </c>
      <c r="D403" s="75">
        <f t="shared" si="105"/>
        <v>159.28389816204339</v>
      </c>
      <c r="E403" s="54">
        <f t="shared" si="109"/>
        <v>159.28389816204339</v>
      </c>
      <c r="F403" s="76">
        <f t="shared" si="122"/>
        <v>57062.786803253315</v>
      </c>
      <c r="G403" s="77">
        <f t="shared" si="121"/>
        <v>325.0289117714949</v>
      </c>
      <c r="H403" s="79">
        <f t="shared" si="110"/>
        <v>108234.62761990835</v>
      </c>
      <c r="I403" s="78">
        <f t="shared" si="106"/>
        <v>165.74501360945152</v>
      </c>
      <c r="J403" s="76">
        <f t="shared" si="111"/>
        <v>55318.472222222219</v>
      </c>
      <c r="K403" s="80">
        <f t="shared" si="107"/>
        <v>106.18926544136225</v>
      </c>
      <c r="L403" s="78">
        <f t="shared" si="112"/>
        <v>6.8111585332906976</v>
      </c>
      <c r="M403" s="59">
        <f t="shared" si="108"/>
        <v>27443.599179323617</v>
      </c>
      <c r="N403" s="80">
        <f t="shared" si="113"/>
        <v>82762.071401545836</v>
      </c>
      <c r="O403" s="54">
        <f t="shared" si="114"/>
        <v>29345.753367057496</v>
      </c>
      <c r="P403" s="54">
        <f t="shared" si="115"/>
        <v>3772.8601906666659</v>
      </c>
      <c r="Q403" s="54">
        <f t="shared" si="116"/>
        <v>625332.76364860439</v>
      </c>
      <c r="R403" s="54">
        <f t="shared" si="117"/>
        <v>221730.32578338345</v>
      </c>
      <c r="S403" s="54">
        <f t="shared" si="118"/>
        <v>542570.6922470585</v>
      </c>
      <c r="T403" s="81">
        <f t="shared" si="119"/>
        <v>192384.57241632594</v>
      </c>
      <c r="U403" s="82">
        <f t="shared" si="120"/>
        <v>2049</v>
      </c>
      <c r="V403" s="414">
        <v>27.75</v>
      </c>
      <c r="W403" s="185"/>
      <c r="X403" s="185"/>
    </row>
    <row r="404" spans="1:24" s="113" customFormat="1" x14ac:dyDescent="0.2">
      <c r="A404" s="73">
        <v>334</v>
      </c>
      <c r="B404" s="74">
        <f t="shared" si="103"/>
        <v>0</v>
      </c>
      <c r="C404" s="75">
        <f t="shared" si="104"/>
        <v>0</v>
      </c>
      <c r="D404" s="75">
        <f t="shared" si="105"/>
        <v>159.28389816204339</v>
      </c>
      <c r="E404" s="54">
        <f t="shared" si="109"/>
        <v>159.28389816204339</v>
      </c>
      <c r="F404" s="76">
        <f t="shared" si="122"/>
        <v>57222.07070141536</v>
      </c>
      <c r="G404" s="77">
        <f t="shared" si="121"/>
        <v>325.0289117714949</v>
      </c>
      <c r="H404" s="79">
        <f t="shared" si="110"/>
        <v>108559.65653167985</v>
      </c>
      <c r="I404" s="78">
        <f t="shared" si="106"/>
        <v>165.74501360945152</v>
      </c>
      <c r="J404" s="76">
        <f t="shared" si="111"/>
        <v>55318.472222222219</v>
      </c>
      <c r="K404" s="80">
        <f t="shared" si="107"/>
        <v>106.18926544136225</v>
      </c>
      <c r="L404" s="78">
        <f t="shared" si="112"/>
        <v>6.8111585332906976</v>
      </c>
      <c r="M404" s="59">
        <f t="shared" si="108"/>
        <v>27443.599179323617</v>
      </c>
      <c r="N404" s="80">
        <f t="shared" si="113"/>
        <v>82762.071401545836</v>
      </c>
      <c r="O404" s="54">
        <f t="shared" si="114"/>
        <v>29260.410503090152</v>
      </c>
      <c r="P404" s="54">
        <f t="shared" si="115"/>
        <v>3779.9071309999995</v>
      </c>
      <c r="Q404" s="54">
        <f t="shared" si="116"/>
        <v>626500.75887005776</v>
      </c>
      <c r="R404" s="54">
        <f t="shared" si="117"/>
        <v>221498.43611445653</v>
      </c>
      <c r="S404" s="54">
        <f t="shared" si="118"/>
        <v>543738.68746851198</v>
      </c>
      <c r="T404" s="81">
        <f t="shared" si="119"/>
        <v>192238.02561136638</v>
      </c>
      <c r="U404" s="82">
        <f t="shared" si="120"/>
        <v>2049</v>
      </c>
      <c r="V404" s="414">
        <v>27.8333333333333</v>
      </c>
      <c r="W404" s="185"/>
      <c r="X404" s="185"/>
    </row>
    <row r="405" spans="1:24" s="113" customFormat="1" x14ac:dyDescent="0.2">
      <c r="A405" s="73">
        <v>335</v>
      </c>
      <c r="B405" s="74">
        <f t="shared" si="103"/>
        <v>0</v>
      </c>
      <c r="C405" s="75">
        <f t="shared" si="104"/>
        <v>0</v>
      </c>
      <c r="D405" s="75">
        <f t="shared" si="105"/>
        <v>159.28389816204339</v>
      </c>
      <c r="E405" s="54">
        <f t="shared" si="109"/>
        <v>159.28389816204339</v>
      </c>
      <c r="F405" s="76">
        <f t="shared" si="122"/>
        <v>57381.354599577404</v>
      </c>
      <c r="G405" s="77">
        <f t="shared" si="121"/>
        <v>325.0289117714949</v>
      </c>
      <c r="H405" s="79">
        <f t="shared" si="110"/>
        <v>108884.68544345135</v>
      </c>
      <c r="I405" s="78">
        <f t="shared" si="106"/>
        <v>165.74501360945152</v>
      </c>
      <c r="J405" s="76">
        <f t="shared" si="111"/>
        <v>55318.472222222219</v>
      </c>
      <c r="K405" s="80">
        <f t="shared" si="107"/>
        <v>106.18926544136225</v>
      </c>
      <c r="L405" s="78">
        <f t="shared" si="112"/>
        <v>6.8111585332906976</v>
      </c>
      <c r="M405" s="59">
        <f t="shared" si="108"/>
        <v>27443.599179323617</v>
      </c>
      <c r="N405" s="80">
        <f t="shared" si="113"/>
        <v>82762.071401545836</v>
      </c>
      <c r="O405" s="54">
        <f t="shared" si="114"/>
        <v>29175.315831913733</v>
      </c>
      <c r="P405" s="54">
        <f t="shared" si="115"/>
        <v>3786.9540713333326</v>
      </c>
      <c r="Q405" s="54">
        <f t="shared" si="116"/>
        <v>627668.75409151101</v>
      </c>
      <c r="R405" s="54">
        <f t="shared" si="117"/>
        <v>221266.01990898923</v>
      </c>
      <c r="S405" s="54">
        <f t="shared" si="118"/>
        <v>544906.68268996524</v>
      </c>
      <c r="T405" s="81">
        <f t="shared" si="119"/>
        <v>192090.70407707553</v>
      </c>
      <c r="U405" s="82">
        <f t="shared" si="120"/>
        <v>2049</v>
      </c>
      <c r="V405" s="414">
        <v>27.9166666666666</v>
      </c>
      <c r="W405" s="185"/>
      <c r="X405" s="185"/>
    </row>
    <row r="406" spans="1:24" s="113" customFormat="1" x14ac:dyDescent="0.2">
      <c r="A406" s="73">
        <v>336</v>
      </c>
      <c r="B406" s="74">
        <f t="shared" si="103"/>
        <v>0</v>
      </c>
      <c r="C406" s="75">
        <f t="shared" si="104"/>
        <v>0</v>
      </c>
      <c r="D406" s="75">
        <f t="shared" si="105"/>
        <v>159.28389816204339</v>
      </c>
      <c r="E406" s="54">
        <f t="shared" si="109"/>
        <v>159.28389816204339</v>
      </c>
      <c r="F406" s="76">
        <f t="shared" si="122"/>
        <v>57540.638497739448</v>
      </c>
      <c r="G406" s="77">
        <f t="shared" si="121"/>
        <v>325.0289117714949</v>
      </c>
      <c r="H406" s="79">
        <f t="shared" si="110"/>
        <v>109209.71435522285</v>
      </c>
      <c r="I406" s="78">
        <f t="shared" si="106"/>
        <v>165.74501360945152</v>
      </c>
      <c r="J406" s="76">
        <f t="shared" si="111"/>
        <v>55318.472222222219</v>
      </c>
      <c r="K406" s="80">
        <f t="shared" si="107"/>
        <v>106.18926544136225</v>
      </c>
      <c r="L406" s="78">
        <f t="shared" si="112"/>
        <v>6.8111585332906976</v>
      </c>
      <c r="M406" s="59">
        <f t="shared" si="108"/>
        <v>27443.599179323617</v>
      </c>
      <c r="N406" s="80">
        <f t="shared" si="113"/>
        <v>82762.071401545836</v>
      </c>
      <c r="O406" s="54">
        <f t="shared" si="114"/>
        <v>29090.468631737829</v>
      </c>
      <c r="P406" s="54">
        <f t="shared" si="115"/>
        <v>3794.0010116666663</v>
      </c>
      <c r="Q406" s="54">
        <f t="shared" si="116"/>
        <v>628836.74931296438</v>
      </c>
      <c r="R406" s="54">
        <f t="shared" si="117"/>
        <v>221033.08219072793</v>
      </c>
      <c r="S406" s="54">
        <f t="shared" si="118"/>
        <v>546074.67791141849</v>
      </c>
      <c r="T406" s="81">
        <f t="shared" si="119"/>
        <v>191942.6135589901</v>
      </c>
      <c r="U406" s="82">
        <f t="shared" si="120"/>
        <v>2049</v>
      </c>
      <c r="V406" s="414">
        <v>28</v>
      </c>
      <c r="W406" s="185"/>
      <c r="X406" s="185"/>
    </row>
    <row r="407" spans="1:24" s="113" customFormat="1" x14ac:dyDescent="0.2">
      <c r="A407" s="73">
        <v>337</v>
      </c>
      <c r="B407" s="74">
        <f t="shared" si="103"/>
        <v>0</v>
      </c>
      <c r="C407" s="75">
        <f t="shared" si="104"/>
        <v>0</v>
      </c>
      <c r="D407" s="75">
        <f t="shared" si="105"/>
        <v>159.28389816204339</v>
      </c>
      <c r="E407" s="54">
        <f t="shared" si="109"/>
        <v>159.28389816204339</v>
      </c>
      <c r="F407" s="76">
        <f t="shared" si="122"/>
        <v>57699.922395901493</v>
      </c>
      <c r="G407" s="77">
        <f t="shared" si="121"/>
        <v>325.0289117714949</v>
      </c>
      <c r="H407" s="79">
        <f t="shared" si="110"/>
        <v>109534.74326699435</v>
      </c>
      <c r="I407" s="78">
        <f t="shared" si="106"/>
        <v>165.74501360945152</v>
      </c>
      <c r="J407" s="76">
        <f t="shared" si="111"/>
        <v>55318.472222222219</v>
      </c>
      <c r="K407" s="80">
        <f t="shared" si="107"/>
        <v>106.18926544136225</v>
      </c>
      <c r="L407" s="78">
        <f t="shared" si="112"/>
        <v>6.8111585332906976</v>
      </c>
      <c r="M407" s="59">
        <f t="shared" si="108"/>
        <v>27443.599179323617</v>
      </c>
      <c r="N407" s="80">
        <f t="shared" si="113"/>
        <v>82762.071401545836</v>
      </c>
      <c r="O407" s="54">
        <f t="shared" si="114"/>
        <v>29005.868182871127</v>
      </c>
      <c r="P407" s="54">
        <f t="shared" si="115"/>
        <v>3801.047951999999</v>
      </c>
      <c r="Q407" s="54">
        <f t="shared" si="116"/>
        <v>630004.74453441764</v>
      </c>
      <c r="R407" s="54">
        <f t="shared" si="117"/>
        <v>220799.62795865204</v>
      </c>
      <c r="S407" s="54">
        <f t="shared" si="118"/>
        <v>547242.67313287174</v>
      </c>
      <c r="T407" s="81">
        <f t="shared" si="119"/>
        <v>191793.7597757809</v>
      </c>
      <c r="U407" s="376">
        <f t="shared" si="120"/>
        <v>2050</v>
      </c>
      <c r="V407" s="414">
        <v>28.0833333333333</v>
      </c>
      <c r="W407" s="185"/>
      <c r="X407" s="185"/>
    </row>
    <row r="408" spans="1:24" s="113" customFormat="1" x14ac:dyDescent="0.2">
      <c r="A408" s="73">
        <v>338</v>
      </c>
      <c r="B408" s="74">
        <f t="shared" si="103"/>
        <v>0</v>
      </c>
      <c r="C408" s="75">
        <f t="shared" si="104"/>
        <v>0</v>
      </c>
      <c r="D408" s="75">
        <f t="shared" si="105"/>
        <v>159.28389816204339</v>
      </c>
      <c r="E408" s="54">
        <f t="shared" si="109"/>
        <v>159.28389816204339</v>
      </c>
      <c r="F408" s="76">
        <f t="shared" si="122"/>
        <v>57859.206294063537</v>
      </c>
      <c r="G408" s="77">
        <f t="shared" si="121"/>
        <v>325.0289117714949</v>
      </c>
      <c r="H408" s="79">
        <f t="shared" si="110"/>
        <v>109859.77217876585</v>
      </c>
      <c r="I408" s="78">
        <f t="shared" si="106"/>
        <v>165.74501360945152</v>
      </c>
      <c r="J408" s="76">
        <f t="shared" si="111"/>
        <v>55318.472222222219</v>
      </c>
      <c r="K408" s="80">
        <f t="shared" si="107"/>
        <v>106.18926544136225</v>
      </c>
      <c r="L408" s="78">
        <f t="shared" si="112"/>
        <v>6.8111585332906976</v>
      </c>
      <c r="M408" s="59">
        <f t="shared" si="108"/>
        <v>27443.599179323617</v>
      </c>
      <c r="N408" s="80">
        <f t="shared" si="113"/>
        <v>82762.071401545836</v>
      </c>
      <c r="O408" s="54">
        <f t="shared" si="114"/>
        <v>28921.513767715289</v>
      </c>
      <c r="P408" s="54">
        <f t="shared" si="115"/>
        <v>3808.0948923333326</v>
      </c>
      <c r="Q408" s="54">
        <f t="shared" si="116"/>
        <v>631172.73975587101</v>
      </c>
      <c r="R408" s="54">
        <f t="shared" si="117"/>
        <v>220565.66218707577</v>
      </c>
      <c r="S408" s="54">
        <f t="shared" si="118"/>
        <v>548410.66835432523</v>
      </c>
      <c r="T408" s="81">
        <f t="shared" si="119"/>
        <v>191644.14841936048</v>
      </c>
      <c r="U408" s="82">
        <f t="shared" si="120"/>
        <v>2050</v>
      </c>
      <c r="V408" s="414">
        <v>28.1666666666666</v>
      </c>
      <c r="W408" s="185"/>
      <c r="X408" s="185"/>
    </row>
    <row r="409" spans="1:24" s="113" customFormat="1" x14ac:dyDescent="0.2">
      <c r="A409" s="73">
        <v>339</v>
      </c>
      <c r="B409" s="74">
        <f t="shared" si="103"/>
        <v>0</v>
      </c>
      <c r="C409" s="75">
        <f t="shared" si="104"/>
        <v>0</v>
      </c>
      <c r="D409" s="75">
        <f t="shared" si="105"/>
        <v>159.28389816204339</v>
      </c>
      <c r="E409" s="54">
        <f t="shared" si="109"/>
        <v>159.28389816204339</v>
      </c>
      <c r="F409" s="76">
        <f t="shared" si="122"/>
        <v>58018.490192225581</v>
      </c>
      <c r="G409" s="77">
        <f t="shared" si="121"/>
        <v>325.0289117714949</v>
      </c>
      <c r="H409" s="79">
        <f t="shared" si="110"/>
        <v>110184.80109053735</v>
      </c>
      <c r="I409" s="78">
        <f t="shared" si="106"/>
        <v>165.74501360945152</v>
      </c>
      <c r="J409" s="76">
        <f t="shared" si="111"/>
        <v>55318.472222222219</v>
      </c>
      <c r="K409" s="80">
        <f t="shared" si="107"/>
        <v>106.18926544136225</v>
      </c>
      <c r="L409" s="78">
        <f t="shared" si="112"/>
        <v>6.8111585332906976</v>
      </c>
      <c r="M409" s="59">
        <f t="shared" si="108"/>
        <v>27443.599179323617</v>
      </c>
      <c r="N409" s="80">
        <f t="shared" si="113"/>
        <v>82762.071401545836</v>
      </c>
      <c r="O409" s="54">
        <f t="shared" si="114"/>
        <v>28837.404670758904</v>
      </c>
      <c r="P409" s="54">
        <f t="shared" si="115"/>
        <v>3815.1418326666658</v>
      </c>
      <c r="Q409" s="54">
        <f t="shared" si="116"/>
        <v>632340.73497732438</v>
      </c>
      <c r="R409" s="54">
        <f t="shared" si="117"/>
        <v>220331.18982574929</v>
      </c>
      <c r="S409" s="54">
        <f t="shared" si="118"/>
        <v>549578.66357577848</v>
      </c>
      <c r="T409" s="81">
        <f t="shared" si="119"/>
        <v>191493.78515499039</v>
      </c>
      <c r="U409" s="82">
        <f t="shared" si="120"/>
        <v>2050</v>
      </c>
      <c r="V409" s="414">
        <v>28.25</v>
      </c>
      <c r="W409" s="185"/>
      <c r="X409" s="185"/>
    </row>
    <row r="410" spans="1:24" s="113" customFormat="1" x14ac:dyDescent="0.2">
      <c r="A410" s="73">
        <v>340</v>
      </c>
      <c r="B410" s="74">
        <f t="shared" si="103"/>
        <v>0</v>
      </c>
      <c r="C410" s="75">
        <f t="shared" si="104"/>
        <v>0</v>
      </c>
      <c r="D410" s="75">
        <f t="shared" si="105"/>
        <v>159.28389816204339</v>
      </c>
      <c r="E410" s="54">
        <f t="shared" si="109"/>
        <v>159.28389816204339</v>
      </c>
      <c r="F410" s="76">
        <f t="shared" si="122"/>
        <v>58177.774090387626</v>
      </c>
      <c r="G410" s="77">
        <f t="shared" si="121"/>
        <v>325.0289117714949</v>
      </c>
      <c r="H410" s="79">
        <f t="shared" si="110"/>
        <v>110509.83000230885</v>
      </c>
      <c r="I410" s="78">
        <f t="shared" si="106"/>
        <v>165.74501360945152</v>
      </c>
      <c r="J410" s="76">
        <f t="shared" si="111"/>
        <v>55318.472222222219</v>
      </c>
      <c r="K410" s="80">
        <f t="shared" si="107"/>
        <v>106.18926544136225</v>
      </c>
      <c r="L410" s="78">
        <f t="shared" si="112"/>
        <v>6.8111585332906976</v>
      </c>
      <c r="M410" s="59">
        <f t="shared" si="108"/>
        <v>27443.599179323617</v>
      </c>
      <c r="N410" s="80">
        <f t="shared" si="113"/>
        <v>82762.071401545836</v>
      </c>
      <c r="O410" s="54">
        <f t="shared" si="114"/>
        <v>28753.540178571406</v>
      </c>
      <c r="P410" s="54">
        <f t="shared" si="115"/>
        <v>3822.1887729999989</v>
      </c>
      <c r="Q410" s="54">
        <f t="shared" si="116"/>
        <v>633508.73019877763</v>
      </c>
      <c r="R410" s="54">
        <f t="shared" si="117"/>
        <v>220096.2157999597</v>
      </c>
      <c r="S410" s="54">
        <f t="shared" si="118"/>
        <v>550746.65879723174</v>
      </c>
      <c r="T410" s="81">
        <f t="shared" si="119"/>
        <v>191342.67562138828</v>
      </c>
      <c r="U410" s="82">
        <f t="shared" si="120"/>
        <v>2050</v>
      </c>
      <c r="V410" s="414">
        <v>28.3333333333333</v>
      </c>
      <c r="W410" s="185"/>
      <c r="X410" s="185"/>
    </row>
    <row r="411" spans="1:24" s="113" customFormat="1" x14ac:dyDescent="0.2">
      <c r="A411" s="73">
        <v>341</v>
      </c>
      <c r="B411" s="74">
        <f t="shared" si="103"/>
        <v>0</v>
      </c>
      <c r="C411" s="75">
        <f t="shared" si="104"/>
        <v>0</v>
      </c>
      <c r="D411" s="75">
        <f t="shared" si="105"/>
        <v>159.28389816204339</v>
      </c>
      <c r="E411" s="54">
        <f t="shared" si="109"/>
        <v>159.28389816204339</v>
      </c>
      <c r="F411" s="76">
        <f t="shared" si="122"/>
        <v>58337.05798854967</v>
      </c>
      <c r="G411" s="77">
        <f t="shared" si="121"/>
        <v>325.0289117714949</v>
      </c>
      <c r="H411" s="79">
        <f t="shared" si="110"/>
        <v>110834.85891408035</v>
      </c>
      <c r="I411" s="78">
        <f t="shared" si="106"/>
        <v>165.74501360945152</v>
      </c>
      <c r="J411" s="76">
        <f t="shared" si="111"/>
        <v>55318.472222222219</v>
      </c>
      <c r="K411" s="80">
        <f t="shared" si="107"/>
        <v>106.18926544136225</v>
      </c>
      <c r="L411" s="78">
        <f t="shared" si="112"/>
        <v>6.8111585332906976</v>
      </c>
      <c r="M411" s="59">
        <f t="shared" si="108"/>
        <v>27443.599179323617</v>
      </c>
      <c r="N411" s="80">
        <f t="shared" si="113"/>
        <v>82762.071401545836</v>
      </c>
      <c r="O411" s="54">
        <f t="shared" si="114"/>
        <v>28669.919579797002</v>
      </c>
      <c r="P411" s="54">
        <f t="shared" si="115"/>
        <v>3829.2357133333326</v>
      </c>
      <c r="Q411" s="54">
        <f t="shared" si="116"/>
        <v>634676.725420231</v>
      </c>
      <c r="R411" s="54">
        <f t="shared" si="117"/>
        <v>219860.74501063128</v>
      </c>
      <c r="S411" s="54">
        <f t="shared" si="118"/>
        <v>551914.65401868522</v>
      </c>
      <c r="T411" s="81">
        <f t="shared" si="119"/>
        <v>191190.82543083429</v>
      </c>
      <c r="U411" s="82">
        <f t="shared" si="120"/>
        <v>2050</v>
      </c>
      <c r="V411" s="414">
        <v>28.4166666666666</v>
      </c>
      <c r="W411" s="185"/>
      <c r="X411" s="185"/>
    </row>
    <row r="412" spans="1:24" s="113" customFormat="1" x14ac:dyDescent="0.2">
      <c r="A412" s="73">
        <v>342</v>
      </c>
      <c r="B412" s="74">
        <f t="shared" si="103"/>
        <v>0</v>
      </c>
      <c r="C412" s="75">
        <f t="shared" si="104"/>
        <v>0</v>
      </c>
      <c r="D412" s="75">
        <f t="shared" si="105"/>
        <v>159.28389816204339</v>
      </c>
      <c r="E412" s="54">
        <f t="shared" si="109"/>
        <v>159.28389816204339</v>
      </c>
      <c r="F412" s="76">
        <f t="shared" si="122"/>
        <v>58496.341886711714</v>
      </c>
      <c r="G412" s="77">
        <f t="shared" si="121"/>
        <v>325.0289117714949</v>
      </c>
      <c r="H412" s="79">
        <f t="shared" si="110"/>
        <v>111159.88782585185</v>
      </c>
      <c r="I412" s="78">
        <f t="shared" si="106"/>
        <v>165.74501360945152</v>
      </c>
      <c r="J412" s="76">
        <f t="shared" si="111"/>
        <v>55318.472222222219</v>
      </c>
      <c r="K412" s="80">
        <f t="shared" si="107"/>
        <v>106.18926544136225</v>
      </c>
      <c r="L412" s="78">
        <f t="shared" si="112"/>
        <v>6.8111585332906976</v>
      </c>
      <c r="M412" s="59">
        <f t="shared" si="108"/>
        <v>27443.599179323617</v>
      </c>
      <c r="N412" s="80">
        <f t="shared" si="113"/>
        <v>82762.071401545836</v>
      </c>
      <c r="O412" s="54">
        <f t="shared" si="114"/>
        <v>28586.54216514865</v>
      </c>
      <c r="P412" s="54">
        <f t="shared" si="115"/>
        <v>3836.2826536666662</v>
      </c>
      <c r="Q412" s="54">
        <f t="shared" si="116"/>
        <v>635844.72064168437</v>
      </c>
      <c r="R412" s="54">
        <f t="shared" si="117"/>
        <v>219624.78233442537</v>
      </c>
      <c r="S412" s="54">
        <f t="shared" si="118"/>
        <v>553082.64924013847</v>
      </c>
      <c r="T412" s="81">
        <f t="shared" si="119"/>
        <v>191038.24016927669</v>
      </c>
      <c r="U412" s="82">
        <f t="shared" si="120"/>
        <v>2050</v>
      </c>
      <c r="V412" s="414">
        <v>28.5</v>
      </c>
      <c r="W412" s="185"/>
      <c r="X412" s="185"/>
    </row>
    <row r="413" spans="1:24" s="113" customFormat="1" x14ac:dyDescent="0.2">
      <c r="A413" s="73">
        <v>343</v>
      </c>
      <c r="B413" s="74">
        <f t="shared" si="103"/>
        <v>0</v>
      </c>
      <c r="C413" s="75">
        <f t="shared" si="104"/>
        <v>0</v>
      </c>
      <c r="D413" s="75">
        <f t="shared" si="105"/>
        <v>159.28389816204339</v>
      </c>
      <c r="E413" s="54">
        <f t="shared" si="109"/>
        <v>159.28389816204339</v>
      </c>
      <c r="F413" s="76">
        <f t="shared" si="122"/>
        <v>58655.625784873759</v>
      </c>
      <c r="G413" s="77">
        <f t="shared" si="121"/>
        <v>325.0289117714949</v>
      </c>
      <c r="H413" s="79">
        <f t="shared" si="110"/>
        <v>111484.91673762335</v>
      </c>
      <c r="I413" s="78">
        <f t="shared" si="106"/>
        <v>165.74501360945152</v>
      </c>
      <c r="J413" s="76">
        <f t="shared" si="111"/>
        <v>55318.472222222219</v>
      </c>
      <c r="K413" s="80">
        <f t="shared" si="107"/>
        <v>106.18926544136225</v>
      </c>
      <c r="L413" s="78">
        <f t="shared" si="112"/>
        <v>6.8111585332906976</v>
      </c>
      <c r="M413" s="59">
        <f t="shared" si="108"/>
        <v>27443.599179323617</v>
      </c>
      <c r="N413" s="80">
        <f t="shared" si="113"/>
        <v>82762.071401545836</v>
      </c>
      <c r="O413" s="54">
        <f t="shared" si="114"/>
        <v>28503.407227402062</v>
      </c>
      <c r="P413" s="54">
        <f t="shared" si="115"/>
        <v>3843.3295939999994</v>
      </c>
      <c r="Q413" s="54">
        <f t="shared" si="116"/>
        <v>637012.71586313762</v>
      </c>
      <c r="R413" s="54">
        <f t="shared" si="117"/>
        <v>219388.33262384046</v>
      </c>
      <c r="S413" s="54">
        <f t="shared" si="118"/>
        <v>554250.64446159173</v>
      </c>
      <c r="T413" s="81">
        <f t="shared" si="119"/>
        <v>190884.9253964384</v>
      </c>
      <c r="U413" s="82">
        <f t="shared" si="120"/>
        <v>2050</v>
      </c>
      <c r="V413" s="414">
        <v>28.5833333333333</v>
      </c>
      <c r="W413" s="185"/>
      <c r="X413" s="185"/>
    </row>
    <row r="414" spans="1:24" s="113" customFormat="1" x14ac:dyDescent="0.2">
      <c r="A414" s="73">
        <v>344</v>
      </c>
      <c r="B414" s="74">
        <f t="shared" si="103"/>
        <v>0</v>
      </c>
      <c r="C414" s="75">
        <f t="shared" si="104"/>
        <v>0</v>
      </c>
      <c r="D414" s="75">
        <f t="shared" si="105"/>
        <v>159.28389816204339</v>
      </c>
      <c r="E414" s="54">
        <f t="shared" si="109"/>
        <v>159.28389816204339</v>
      </c>
      <c r="F414" s="76">
        <f t="shared" si="122"/>
        <v>58814.909683035803</v>
      </c>
      <c r="G414" s="77">
        <f t="shared" si="121"/>
        <v>325.0289117714949</v>
      </c>
      <c r="H414" s="79">
        <f t="shared" si="110"/>
        <v>111809.94564939485</v>
      </c>
      <c r="I414" s="78">
        <f t="shared" si="106"/>
        <v>165.74501360945152</v>
      </c>
      <c r="J414" s="76">
        <f t="shared" si="111"/>
        <v>55318.472222222219</v>
      </c>
      <c r="K414" s="80">
        <f t="shared" si="107"/>
        <v>106.18926544136225</v>
      </c>
      <c r="L414" s="78">
        <f t="shared" si="112"/>
        <v>6.8111585332906976</v>
      </c>
      <c r="M414" s="59">
        <f t="shared" si="108"/>
        <v>27443.599179323617</v>
      </c>
      <c r="N414" s="80">
        <f t="shared" si="113"/>
        <v>82762.071401545836</v>
      </c>
      <c r="O414" s="54">
        <f t="shared" si="114"/>
        <v>28420.514061389669</v>
      </c>
      <c r="P414" s="54">
        <f t="shared" si="115"/>
        <v>3850.3765343333321</v>
      </c>
      <c r="Q414" s="54">
        <f t="shared" si="116"/>
        <v>638180.71108459088</v>
      </c>
      <c r="R414" s="54">
        <f t="shared" si="117"/>
        <v>219151.4007073112</v>
      </c>
      <c r="S414" s="54">
        <f t="shared" si="118"/>
        <v>555418.63968304498</v>
      </c>
      <c r="T414" s="81">
        <f t="shared" si="119"/>
        <v>190730.88664592154</v>
      </c>
      <c r="U414" s="82">
        <f t="shared" si="120"/>
        <v>2050</v>
      </c>
      <c r="V414" s="414">
        <v>28.6666666666666</v>
      </c>
      <c r="W414" s="185"/>
      <c r="X414" s="185"/>
    </row>
    <row r="415" spans="1:24" s="113" customFormat="1" x14ac:dyDescent="0.2">
      <c r="A415" s="73">
        <v>345</v>
      </c>
      <c r="B415" s="74">
        <f t="shared" si="103"/>
        <v>0</v>
      </c>
      <c r="C415" s="75">
        <f t="shared" si="104"/>
        <v>0</v>
      </c>
      <c r="D415" s="75">
        <f t="shared" si="105"/>
        <v>159.28389816204339</v>
      </c>
      <c r="E415" s="54">
        <f t="shared" si="109"/>
        <v>159.28389816204339</v>
      </c>
      <c r="F415" s="76">
        <f t="shared" si="122"/>
        <v>58974.193581197847</v>
      </c>
      <c r="G415" s="77">
        <f t="shared" si="121"/>
        <v>325.0289117714949</v>
      </c>
      <c r="H415" s="79">
        <f t="shared" si="110"/>
        <v>112134.97456116635</v>
      </c>
      <c r="I415" s="78">
        <f t="shared" si="106"/>
        <v>165.74501360945152</v>
      </c>
      <c r="J415" s="76">
        <f t="shared" si="111"/>
        <v>55318.472222222219</v>
      </c>
      <c r="K415" s="80">
        <f t="shared" si="107"/>
        <v>106.18926544136225</v>
      </c>
      <c r="L415" s="78">
        <f t="shared" si="112"/>
        <v>6.8111585332906976</v>
      </c>
      <c r="M415" s="59">
        <f t="shared" si="108"/>
        <v>27443.599179323617</v>
      </c>
      <c r="N415" s="80">
        <f t="shared" si="113"/>
        <v>82762.071401545836</v>
      </c>
      <c r="O415" s="54">
        <f t="shared" si="114"/>
        <v>28337.861963994692</v>
      </c>
      <c r="P415" s="54">
        <f t="shared" si="115"/>
        <v>3857.4234746666662</v>
      </c>
      <c r="Q415" s="54">
        <f t="shared" si="116"/>
        <v>639348.70630604436</v>
      </c>
      <c r="R415" s="54">
        <f t="shared" si="117"/>
        <v>218913.99138930763</v>
      </c>
      <c r="S415" s="54">
        <f t="shared" si="118"/>
        <v>556586.63490449847</v>
      </c>
      <c r="T415" s="81">
        <f t="shared" si="119"/>
        <v>190576.12942531292</v>
      </c>
      <c r="U415" s="82">
        <f t="shared" si="120"/>
        <v>2050</v>
      </c>
      <c r="V415" s="414">
        <v>28.75</v>
      </c>
      <c r="W415" s="185"/>
      <c r="X415" s="185"/>
    </row>
    <row r="416" spans="1:24" s="113" customFormat="1" x14ac:dyDescent="0.2">
      <c r="A416" s="73">
        <v>346</v>
      </c>
      <c r="B416" s="74">
        <f t="shared" si="103"/>
        <v>0</v>
      </c>
      <c r="C416" s="75">
        <f t="shared" si="104"/>
        <v>0</v>
      </c>
      <c r="D416" s="75">
        <f t="shared" si="105"/>
        <v>159.28389816204339</v>
      </c>
      <c r="E416" s="54">
        <f t="shared" si="109"/>
        <v>159.28389816204339</v>
      </c>
      <c r="F416" s="76">
        <f t="shared" si="122"/>
        <v>59133.477479359892</v>
      </c>
      <c r="G416" s="77">
        <f t="shared" si="121"/>
        <v>325.0289117714949</v>
      </c>
      <c r="H416" s="79">
        <f t="shared" si="110"/>
        <v>112460.00347293785</v>
      </c>
      <c r="I416" s="78">
        <f t="shared" si="106"/>
        <v>165.74501360945152</v>
      </c>
      <c r="J416" s="76">
        <f t="shared" si="111"/>
        <v>55318.472222222219</v>
      </c>
      <c r="K416" s="80">
        <f t="shared" si="107"/>
        <v>106.18926544136225</v>
      </c>
      <c r="L416" s="78">
        <f t="shared" si="112"/>
        <v>6.8111585332906976</v>
      </c>
      <c r="M416" s="59">
        <f t="shared" si="108"/>
        <v>27443.599179323617</v>
      </c>
      <c r="N416" s="80">
        <f t="shared" si="113"/>
        <v>82762.071401545836</v>
      </c>
      <c r="O416" s="54">
        <f t="shared" si="114"/>
        <v>28255.450234145108</v>
      </c>
      <c r="P416" s="54">
        <f t="shared" si="115"/>
        <v>3864.4704149999998</v>
      </c>
      <c r="Q416" s="54">
        <f t="shared" si="116"/>
        <v>640516.70152749773</v>
      </c>
      <c r="R416" s="54">
        <f t="shared" si="117"/>
        <v>218676.109450433</v>
      </c>
      <c r="S416" s="54">
        <f t="shared" si="118"/>
        <v>557754.63012595195</v>
      </c>
      <c r="T416" s="81">
        <f t="shared" si="119"/>
        <v>190420.65921628792</v>
      </c>
      <c r="U416" s="82">
        <f t="shared" si="120"/>
        <v>2050</v>
      </c>
      <c r="V416" s="414">
        <v>28.8333333333333</v>
      </c>
      <c r="W416" s="185"/>
      <c r="X416" s="185"/>
    </row>
    <row r="417" spans="1:29" s="113" customFormat="1" x14ac:dyDescent="0.2">
      <c r="A417" s="73">
        <v>347</v>
      </c>
      <c r="B417" s="74">
        <f t="shared" si="103"/>
        <v>0</v>
      </c>
      <c r="C417" s="75">
        <f t="shared" si="104"/>
        <v>0</v>
      </c>
      <c r="D417" s="75">
        <f t="shared" si="105"/>
        <v>159.28389816204339</v>
      </c>
      <c r="E417" s="54">
        <f t="shared" si="109"/>
        <v>159.28389816204339</v>
      </c>
      <c r="F417" s="76">
        <f t="shared" si="122"/>
        <v>59292.761377521936</v>
      </c>
      <c r="G417" s="77">
        <f t="shared" si="121"/>
        <v>325.0289117714949</v>
      </c>
      <c r="H417" s="79">
        <f t="shared" si="110"/>
        <v>112785.03238470935</v>
      </c>
      <c r="I417" s="78">
        <f t="shared" si="106"/>
        <v>165.74501360945152</v>
      </c>
      <c r="J417" s="76">
        <f t="shared" si="111"/>
        <v>55318.472222222219</v>
      </c>
      <c r="K417" s="80">
        <f t="shared" si="107"/>
        <v>106.18926544136225</v>
      </c>
      <c r="L417" s="78">
        <f t="shared" si="112"/>
        <v>6.8111585332906976</v>
      </c>
      <c r="M417" s="59">
        <f t="shared" si="108"/>
        <v>27443.599179323617</v>
      </c>
      <c r="N417" s="80">
        <f t="shared" si="113"/>
        <v>82762.071401545836</v>
      </c>
      <c r="O417" s="54">
        <f t="shared" si="114"/>
        <v>28173.27817280775</v>
      </c>
      <c r="P417" s="54">
        <f t="shared" si="115"/>
        <v>3871.5173553333325</v>
      </c>
      <c r="Q417" s="54">
        <f t="shared" si="116"/>
        <v>641684.69674895098</v>
      </c>
      <c r="R417" s="54">
        <f t="shared" si="117"/>
        <v>218437.7596475227</v>
      </c>
      <c r="S417" s="54">
        <f t="shared" si="118"/>
        <v>558922.62534740521</v>
      </c>
      <c r="T417" s="81">
        <f t="shared" si="119"/>
        <v>190264.48147471496</v>
      </c>
      <c r="U417" s="82">
        <f t="shared" si="120"/>
        <v>2050</v>
      </c>
      <c r="V417" s="414">
        <v>28.9166666666666</v>
      </c>
      <c r="W417" s="185"/>
      <c r="X417" s="185"/>
    </row>
    <row r="418" spans="1:29" s="113" customFormat="1" x14ac:dyDescent="0.2">
      <c r="A418" s="73">
        <v>348</v>
      </c>
      <c r="B418" s="74">
        <f t="shared" si="103"/>
        <v>0</v>
      </c>
      <c r="C418" s="75">
        <f t="shared" si="104"/>
        <v>0</v>
      </c>
      <c r="D418" s="75">
        <f t="shared" si="105"/>
        <v>159.28389816204339</v>
      </c>
      <c r="E418" s="54">
        <f t="shared" si="109"/>
        <v>159.28389816204339</v>
      </c>
      <c r="F418" s="76">
        <f t="shared" si="122"/>
        <v>59452.04527568398</v>
      </c>
      <c r="G418" s="77">
        <f t="shared" si="121"/>
        <v>325.0289117714949</v>
      </c>
      <c r="H418" s="79">
        <f t="shared" si="110"/>
        <v>113110.06129648085</v>
      </c>
      <c r="I418" s="78">
        <f t="shared" si="106"/>
        <v>165.74501360945152</v>
      </c>
      <c r="J418" s="76">
        <f t="shared" si="111"/>
        <v>55318.472222222219</v>
      </c>
      <c r="K418" s="80">
        <f t="shared" si="107"/>
        <v>106.18926544136225</v>
      </c>
      <c r="L418" s="78">
        <f t="shared" si="112"/>
        <v>6.8111585332906976</v>
      </c>
      <c r="M418" s="59">
        <f t="shared" si="108"/>
        <v>27443.599179323617</v>
      </c>
      <c r="N418" s="80">
        <f t="shared" si="113"/>
        <v>82762.071401545836</v>
      </c>
      <c r="O418" s="54">
        <f t="shared" si="114"/>
        <v>28091.345082982378</v>
      </c>
      <c r="P418" s="54">
        <f t="shared" si="115"/>
        <v>3878.5642956666657</v>
      </c>
      <c r="Q418" s="54">
        <f t="shared" si="116"/>
        <v>642852.69197040424</v>
      </c>
      <c r="R418" s="54">
        <f t="shared" si="117"/>
        <v>218198.94671374187</v>
      </c>
      <c r="S418" s="54">
        <f t="shared" si="118"/>
        <v>560090.62056885846</v>
      </c>
      <c r="T418" s="81">
        <f t="shared" si="119"/>
        <v>190107.60163075951</v>
      </c>
      <c r="U418" s="82">
        <f t="shared" si="120"/>
        <v>2050</v>
      </c>
      <c r="V418" s="414">
        <v>29</v>
      </c>
      <c r="W418" s="185"/>
      <c r="X418" s="185"/>
    </row>
    <row r="419" spans="1:29" s="113" customFormat="1" x14ac:dyDescent="0.2">
      <c r="A419" s="73">
        <v>349</v>
      </c>
      <c r="B419" s="74">
        <f t="shared" si="103"/>
        <v>0</v>
      </c>
      <c r="C419" s="75">
        <f t="shared" si="104"/>
        <v>0</v>
      </c>
      <c r="D419" s="75">
        <f t="shared" si="105"/>
        <v>159.28389816204339</v>
      </c>
      <c r="E419" s="54">
        <f t="shared" si="109"/>
        <v>159.28389816204339</v>
      </c>
      <c r="F419" s="76">
        <f t="shared" si="122"/>
        <v>59611.329173846025</v>
      </c>
      <c r="G419" s="77">
        <f t="shared" si="121"/>
        <v>325.0289117714949</v>
      </c>
      <c r="H419" s="79">
        <f t="shared" si="110"/>
        <v>113435.09020825235</v>
      </c>
      <c r="I419" s="78">
        <f t="shared" si="106"/>
        <v>165.74501360945152</v>
      </c>
      <c r="J419" s="76">
        <f t="shared" si="111"/>
        <v>55318.472222222219</v>
      </c>
      <c r="K419" s="80">
        <f t="shared" si="107"/>
        <v>106.18926544136225</v>
      </c>
      <c r="L419" s="78">
        <f t="shared" si="112"/>
        <v>6.8111585332906976</v>
      </c>
      <c r="M419" s="59">
        <f t="shared" si="108"/>
        <v>27443.599179323617</v>
      </c>
      <c r="N419" s="80">
        <f t="shared" si="113"/>
        <v>82762.071401545836</v>
      </c>
      <c r="O419" s="54">
        <f t="shared" si="114"/>
        <v>28009.650269695765</v>
      </c>
      <c r="P419" s="54">
        <f t="shared" si="115"/>
        <v>3885.6112359999993</v>
      </c>
      <c r="Q419" s="54">
        <f t="shared" si="116"/>
        <v>644020.68719185761</v>
      </c>
      <c r="R419" s="54">
        <f t="shared" si="117"/>
        <v>217959.67535868293</v>
      </c>
      <c r="S419" s="54">
        <f t="shared" si="118"/>
        <v>561258.61579031171</v>
      </c>
      <c r="T419" s="81">
        <f t="shared" si="119"/>
        <v>189950.02508898714</v>
      </c>
      <c r="U419" s="376">
        <f t="shared" si="120"/>
        <v>2051</v>
      </c>
      <c r="V419" s="414">
        <v>29.0833333333333</v>
      </c>
      <c r="W419" s="185"/>
      <c r="X419" s="185"/>
    </row>
    <row r="420" spans="1:29" s="113" customFormat="1" x14ac:dyDescent="0.2">
      <c r="A420" s="73">
        <v>350</v>
      </c>
      <c r="B420" s="74">
        <f t="shared" si="103"/>
        <v>0</v>
      </c>
      <c r="C420" s="75">
        <f t="shared" si="104"/>
        <v>0</v>
      </c>
      <c r="D420" s="75">
        <f t="shared" si="105"/>
        <v>159.28389816204339</v>
      </c>
      <c r="E420" s="54">
        <f t="shared" si="109"/>
        <v>159.28389816204339</v>
      </c>
      <c r="F420" s="76">
        <f t="shared" si="122"/>
        <v>59770.613072008069</v>
      </c>
      <c r="G420" s="77">
        <f t="shared" si="121"/>
        <v>325.0289117714949</v>
      </c>
      <c r="H420" s="79">
        <f t="shared" si="110"/>
        <v>113760.11912002385</v>
      </c>
      <c r="I420" s="78">
        <f t="shared" si="106"/>
        <v>165.74501360945152</v>
      </c>
      <c r="J420" s="76">
        <f t="shared" si="111"/>
        <v>55318.472222222219</v>
      </c>
      <c r="K420" s="80">
        <f t="shared" si="107"/>
        <v>106.18926544136225</v>
      </c>
      <c r="L420" s="78">
        <f t="shared" si="112"/>
        <v>6.8111585332906976</v>
      </c>
      <c r="M420" s="59">
        <f t="shared" si="108"/>
        <v>27443.599179323617</v>
      </c>
      <c r="N420" s="80">
        <f t="shared" si="113"/>
        <v>82762.071401545836</v>
      </c>
      <c r="O420" s="54">
        <f t="shared" si="114"/>
        <v>27928.193039995775</v>
      </c>
      <c r="P420" s="54">
        <f t="shared" si="115"/>
        <v>3892.6581763333324</v>
      </c>
      <c r="Q420" s="54">
        <f t="shared" si="116"/>
        <v>645188.68241331086</v>
      </c>
      <c r="R420" s="54">
        <f t="shared" si="117"/>
        <v>217719.95026846215</v>
      </c>
      <c r="S420" s="54">
        <f t="shared" si="118"/>
        <v>562426.61101176497</v>
      </c>
      <c r="T420" s="81">
        <f t="shared" si="119"/>
        <v>189791.75722846636</v>
      </c>
      <c r="U420" s="82">
        <f t="shared" si="120"/>
        <v>2051</v>
      </c>
      <c r="V420" s="414">
        <v>29.1666666666666</v>
      </c>
      <c r="W420" s="185"/>
      <c r="X420" s="185"/>
    </row>
    <row r="421" spans="1:29" s="113" customFormat="1" x14ac:dyDescent="0.2">
      <c r="A421" s="73">
        <v>351</v>
      </c>
      <c r="B421" s="74">
        <f t="shared" si="103"/>
        <v>0</v>
      </c>
      <c r="C421" s="75">
        <f t="shared" si="104"/>
        <v>0</v>
      </c>
      <c r="D421" s="75">
        <f t="shared" si="105"/>
        <v>159.28389816204339</v>
      </c>
      <c r="E421" s="54">
        <f t="shared" si="109"/>
        <v>159.28389816204339</v>
      </c>
      <c r="F421" s="76">
        <f t="shared" si="122"/>
        <v>59929.896970170113</v>
      </c>
      <c r="G421" s="77">
        <f t="shared" si="121"/>
        <v>325.0289117714949</v>
      </c>
      <c r="H421" s="79">
        <f t="shared" si="110"/>
        <v>114085.14803179535</v>
      </c>
      <c r="I421" s="78">
        <f t="shared" si="106"/>
        <v>165.74501360945152</v>
      </c>
      <c r="J421" s="76">
        <f t="shared" si="111"/>
        <v>55318.472222222219</v>
      </c>
      <c r="K421" s="80">
        <f t="shared" si="107"/>
        <v>106.18926544136225</v>
      </c>
      <c r="L421" s="78">
        <f t="shared" si="112"/>
        <v>6.8111585332906976</v>
      </c>
      <c r="M421" s="59">
        <f t="shared" si="108"/>
        <v>27443.599179323617</v>
      </c>
      <c r="N421" s="80">
        <f t="shared" si="113"/>
        <v>82762.071401545836</v>
      </c>
      <c r="O421" s="54">
        <f t="shared" si="114"/>
        <v>27846.972702945528</v>
      </c>
      <c r="P421" s="54">
        <f t="shared" si="115"/>
        <v>3899.7051166666661</v>
      </c>
      <c r="Q421" s="54">
        <f t="shared" si="116"/>
        <v>646356.67763476435</v>
      </c>
      <c r="R421" s="54">
        <f t="shared" si="117"/>
        <v>217479.7761058172</v>
      </c>
      <c r="S421" s="54">
        <f t="shared" si="118"/>
        <v>563594.60623321845</v>
      </c>
      <c r="T421" s="81">
        <f t="shared" si="119"/>
        <v>189632.80340287165</v>
      </c>
      <c r="U421" s="82">
        <f t="shared" si="120"/>
        <v>2051</v>
      </c>
      <c r="V421" s="414">
        <v>29.25</v>
      </c>
      <c r="W421" s="185"/>
      <c r="X421" s="185"/>
    </row>
    <row r="422" spans="1:29" s="113" customFormat="1" x14ac:dyDescent="0.2">
      <c r="A422" s="73">
        <v>352</v>
      </c>
      <c r="B422" s="74">
        <f t="shared" si="103"/>
        <v>0</v>
      </c>
      <c r="C422" s="75">
        <f t="shared" si="104"/>
        <v>0</v>
      </c>
      <c r="D422" s="75">
        <f t="shared" si="105"/>
        <v>159.28389816204339</v>
      </c>
      <c r="E422" s="54">
        <f t="shared" si="109"/>
        <v>159.28389816204339</v>
      </c>
      <c r="F422" s="76">
        <f t="shared" si="122"/>
        <v>60089.180868332158</v>
      </c>
      <c r="G422" s="77">
        <f t="shared" si="121"/>
        <v>325.0289117714949</v>
      </c>
      <c r="H422" s="79">
        <f t="shared" si="110"/>
        <v>114410.17694356685</v>
      </c>
      <c r="I422" s="78">
        <f t="shared" si="106"/>
        <v>165.74501360945152</v>
      </c>
      <c r="J422" s="76">
        <f t="shared" si="111"/>
        <v>55318.472222222219</v>
      </c>
      <c r="K422" s="80">
        <f t="shared" si="107"/>
        <v>106.18926544136225</v>
      </c>
      <c r="L422" s="78">
        <f t="shared" si="112"/>
        <v>6.8111585332906976</v>
      </c>
      <c r="M422" s="59">
        <f t="shared" si="108"/>
        <v>27443.599179323617</v>
      </c>
      <c r="N422" s="80">
        <f t="shared" si="113"/>
        <v>82762.071401545836</v>
      </c>
      <c r="O422" s="54">
        <f t="shared" si="114"/>
        <v>27765.988569617468</v>
      </c>
      <c r="P422" s="54">
        <f t="shared" si="115"/>
        <v>3906.7520569999992</v>
      </c>
      <c r="Q422" s="54">
        <f t="shared" si="116"/>
        <v>647524.6728562176</v>
      </c>
      <c r="R422" s="54">
        <f t="shared" si="117"/>
        <v>217239.15751020235</v>
      </c>
      <c r="S422" s="54">
        <f t="shared" si="118"/>
        <v>564762.60145467171</v>
      </c>
      <c r="T422" s="81">
        <f t="shared" si="119"/>
        <v>189473.16894058484</v>
      </c>
      <c r="U422" s="82">
        <f t="shared" si="120"/>
        <v>2051</v>
      </c>
      <c r="V422" s="414">
        <v>29.3333333333333</v>
      </c>
      <c r="W422" s="185"/>
      <c r="X422" s="185"/>
    </row>
    <row r="423" spans="1:29" s="113" customFormat="1" x14ac:dyDescent="0.2">
      <c r="A423" s="73">
        <v>353</v>
      </c>
      <c r="B423" s="74">
        <f t="shared" si="103"/>
        <v>0</v>
      </c>
      <c r="C423" s="75">
        <f t="shared" si="104"/>
        <v>0</v>
      </c>
      <c r="D423" s="75">
        <f t="shared" si="105"/>
        <v>159.28389816204339</v>
      </c>
      <c r="E423" s="54">
        <f t="shared" si="109"/>
        <v>159.28389816204339</v>
      </c>
      <c r="F423" s="76">
        <f t="shared" si="122"/>
        <v>60248.464766494202</v>
      </c>
      <c r="G423" s="77">
        <f t="shared" si="121"/>
        <v>325.0289117714949</v>
      </c>
      <c r="H423" s="79">
        <f t="shared" si="110"/>
        <v>114735.20585533835</v>
      </c>
      <c r="I423" s="78">
        <f t="shared" si="106"/>
        <v>165.74501360945152</v>
      </c>
      <c r="J423" s="76">
        <f t="shared" si="111"/>
        <v>55318.472222222219</v>
      </c>
      <c r="K423" s="80">
        <f t="shared" si="107"/>
        <v>106.18926544136225</v>
      </c>
      <c r="L423" s="78">
        <f t="shared" si="112"/>
        <v>6.8111585332906976</v>
      </c>
      <c r="M423" s="59">
        <f t="shared" si="108"/>
        <v>27443.599179323617</v>
      </c>
      <c r="N423" s="80">
        <f t="shared" si="113"/>
        <v>82762.071401545836</v>
      </c>
      <c r="O423" s="54">
        <f t="shared" si="114"/>
        <v>27685.239953087639</v>
      </c>
      <c r="P423" s="54">
        <f t="shared" si="115"/>
        <v>3913.7989973333329</v>
      </c>
      <c r="Q423" s="54">
        <f t="shared" si="116"/>
        <v>648692.66807767097</v>
      </c>
      <c r="R423" s="54">
        <f t="shared" si="117"/>
        <v>216998.09909788592</v>
      </c>
      <c r="S423" s="54">
        <f t="shared" si="118"/>
        <v>565930.59667612519</v>
      </c>
      <c r="T423" s="81">
        <f t="shared" si="119"/>
        <v>189312.85914479831</v>
      </c>
      <c r="U423" s="82">
        <f t="shared" si="120"/>
        <v>2051</v>
      </c>
      <c r="V423" s="414">
        <v>29.4166666666666</v>
      </c>
      <c r="W423" s="185"/>
      <c r="X423" s="185"/>
    </row>
    <row r="424" spans="1:29" s="113" customFormat="1" x14ac:dyDescent="0.2">
      <c r="A424" s="73">
        <v>354</v>
      </c>
      <c r="B424" s="74">
        <f t="shared" si="103"/>
        <v>0</v>
      </c>
      <c r="C424" s="75">
        <f t="shared" si="104"/>
        <v>0</v>
      </c>
      <c r="D424" s="75">
        <f t="shared" si="105"/>
        <v>159.28389816204339</v>
      </c>
      <c r="E424" s="54">
        <f t="shared" si="109"/>
        <v>159.28389816204339</v>
      </c>
      <c r="F424" s="76">
        <f t="shared" si="122"/>
        <v>60407.748664656247</v>
      </c>
      <c r="G424" s="77">
        <f t="shared" si="121"/>
        <v>325.0289117714949</v>
      </c>
      <c r="H424" s="79">
        <f t="shared" si="110"/>
        <v>115060.23476710985</v>
      </c>
      <c r="I424" s="78">
        <f t="shared" si="106"/>
        <v>165.74501360945152</v>
      </c>
      <c r="J424" s="76">
        <f t="shared" si="111"/>
        <v>55318.472222222219</v>
      </c>
      <c r="K424" s="80">
        <f t="shared" si="107"/>
        <v>106.18926544136225</v>
      </c>
      <c r="L424" s="78">
        <f t="shared" si="112"/>
        <v>6.8111585332906976</v>
      </c>
      <c r="M424" s="59">
        <f t="shared" si="108"/>
        <v>27443.599179323617</v>
      </c>
      <c r="N424" s="80">
        <f t="shared" si="113"/>
        <v>82762.071401545836</v>
      </c>
      <c r="O424" s="54">
        <f t="shared" si="114"/>
        <v>27604.726168429708</v>
      </c>
      <c r="P424" s="54">
        <f t="shared" si="115"/>
        <v>3920.8459376666656</v>
      </c>
      <c r="Q424" s="54">
        <f t="shared" si="116"/>
        <v>649860.66329912422</v>
      </c>
      <c r="R424" s="54">
        <f t="shared" si="117"/>
        <v>216756.60546204445</v>
      </c>
      <c r="S424" s="54">
        <f t="shared" si="118"/>
        <v>567098.59189757844</v>
      </c>
      <c r="T424" s="81">
        <f t="shared" si="119"/>
        <v>189151.87929361477</v>
      </c>
      <c r="U424" s="82">
        <f t="shared" si="120"/>
        <v>2051</v>
      </c>
      <c r="V424" s="414">
        <v>29.5</v>
      </c>
      <c r="W424" s="185"/>
      <c r="X424" s="185"/>
    </row>
    <row r="425" spans="1:29" s="113" customFormat="1" x14ac:dyDescent="0.2">
      <c r="A425" s="73">
        <v>355</v>
      </c>
      <c r="B425" s="74">
        <f t="shared" si="103"/>
        <v>0</v>
      </c>
      <c r="C425" s="75">
        <f t="shared" si="104"/>
        <v>0</v>
      </c>
      <c r="D425" s="75">
        <f t="shared" si="105"/>
        <v>159.28389816204339</v>
      </c>
      <c r="E425" s="54">
        <f t="shared" si="109"/>
        <v>159.28389816204339</v>
      </c>
      <c r="F425" s="76">
        <f t="shared" si="122"/>
        <v>60567.032562818291</v>
      </c>
      <c r="G425" s="77">
        <f t="shared" si="121"/>
        <v>325.0289117714949</v>
      </c>
      <c r="H425" s="79">
        <f t="shared" si="110"/>
        <v>115385.26367888135</v>
      </c>
      <c r="I425" s="78">
        <f t="shared" si="106"/>
        <v>165.74501360945152</v>
      </c>
      <c r="J425" s="76">
        <f t="shared" si="111"/>
        <v>55318.472222222219</v>
      </c>
      <c r="K425" s="80">
        <f t="shared" si="107"/>
        <v>106.18926544136225</v>
      </c>
      <c r="L425" s="78">
        <f t="shared" si="112"/>
        <v>6.8111585332906976</v>
      </c>
      <c r="M425" s="59">
        <f t="shared" si="108"/>
        <v>27443.599179323617</v>
      </c>
      <c r="N425" s="80">
        <f t="shared" si="113"/>
        <v>82762.071401545836</v>
      </c>
      <c r="O425" s="54">
        <f t="shared" si="114"/>
        <v>27524.446532709313</v>
      </c>
      <c r="P425" s="54">
        <f t="shared" si="115"/>
        <v>3927.8928779999997</v>
      </c>
      <c r="Q425" s="54">
        <f t="shared" si="116"/>
        <v>651028.65852057759</v>
      </c>
      <c r="R425" s="54">
        <f t="shared" si="117"/>
        <v>216514.68117285924</v>
      </c>
      <c r="S425" s="54">
        <f t="shared" si="118"/>
        <v>568266.5871190317</v>
      </c>
      <c r="T425" s="81">
        <f t="shared" si="119"/>
        <v>188990.23464014989</v>
      </c>
      <c r="U425" s="82">
        <f t="shared" si="120"/>
        <v>2051</v>
      </c>
      <c r="V425" s="414">
        <v>29.5833333333333</v>
      </c>
      <c r="W425" s="185"/>
      <c r="X425" s="185"/>
    </row>
    <row r="426" spans="1:29" s="113" customFormat="1" x14ac:dyDescent="0.2">
      <c r="A426" s="73">
        <v>356</v>
      </c>
      <c r="B426" s="74">
        <f t="shared" si="103"/>
        <v>0</v>
      </c>
      <c r="C426" s="75">
        <f t="shared" si="104"/>
        <v>0</v>
      </c>
      <c r="D426" s="75">
        <f t="shared" si="105"/>
        <v>159.28389816204339</v>
      </c>
      <c r="E426" s="54">
        <f t="shared" si="109"/>
        <v>159.28389816204339</v>
      </c>
      <c r="F426" s="76">
        <f t="shared" si="122"/>
        <v>60726.316460980335</v>
      </c>
      <c r="G426" s="77">
        <f t="shared" si="121"/>
        <v>325.0289117714949</v>
      </c>
      <c r="H426" s="79">
        <f t="shared" si="110"/>
        <v>115710.29259065285</v>
      </c>
      <c r="I426" s="78">
        <f t="shared" si="106"/>
        <v>165.74501360945152</v>
      </c>
      <c r="J426" s="76">
        <f t="shared" si="111"/>
        <v>55318.472222222219</v>
      </c>
      <c r="K426" s="80">
        <f t="shared" si="107"/>
        <v>106.18926544136225</v>
      </c>
      <c r="L426" s="78">
        <f t="shared" si="112"/>
        <v>6.8111585332906976</v>
      </c>
      <c r="M426" s="59">
        <f t="shared" si="108"/>
        <v>27443.599179323617</v>
      </c>
      <c r="N426" s="80">
        <f t="shared" si="113"/>
        <v>82762.071401545836</v>
      </c>
      <c r="O426" s="54">
        <f t="shared" si="114"/>
        <v>27444.400364978119</v>
      </c>
      <c r="P426" s="54">
        <f t="shared" si="115"/>
        <v>3934.9398183333324</v>
      </c>
      <c r="Q426" s="54">
        <f t="shared" si="116"/>
        <v>652196.65374203085</v>
      </c>
      <c r="R426" s="54">
        <f t="shared" si="117"/>
        <v>216272.33077761001</v>
      </c>
      <c r="S426" s="54">
        <f t="shared" si="118"/>
        <v>569434.58234048495</v>
      </c>
      <c r="T426" s="81">
        <f t="shared" si="119"/>
        <v>188827.93041263186</v>
      </c>
      <c r="U426" s="82">
        <f t="shared" si="120"/>
        <v>2051</v>
      </c>
      <c r="V426" s="414">
        <v>29.6666666666666</v>
      </c>
      <c r="W426" s="185"/>
      <c r="X426" s="185"/>
    </row>
    <row r="427" spans="1:29" s="113" customFormat="1" x14ac:dyDescent="0.2">
      <c r="A427" s="73">
        <v>357</v>
      </c>
      <c r="B427" s="74">
        <f t="shared" si="103"/>
        <v>0</v>
      </c>
      <c r="C427" s="75">
        <f t="shared" si="104"/>
        <v>0</v>
      </c>
      <c r="D427" s="75">
        <f t="shared" si="105"/>
        <v>159.28389816204339</v>
      </c>
      <c r="E427" s="54">
        <f t="shared" si="109"/>
        <v>159.28389816204339</v>
      </c>
      <c r="F427" s="76">
        <f t="shared" si="122"/>
        <v>60885.60035914238</v>
      </c>
      <c r="G427" s="77">
        <f t="shared" si="121"/>
        <v>325.0289117714949</v>
      </c>
      <c r="H427" s="79">
        <f t="shared" si="110"/>
        <v>116035.32150242435</v>
      </c>
      <c r="I427" s="78">
        <f t="shared" si="106"/>
        <v>165.74501360945152</v>
      </c>
      <c r="J427" s="76">
        <f t="shared" si="111"/>
        <v>55318.472222222219</v>
      </c>
      <c r="K427" s="80">
        <f t="shared" si="107"/>
        <v>106.18926544136225</v>
      </c>
      <c r="L427" s="78">
        <f t="shared" si="112"/>
        <v>6.8111585332906976</v>
      </c>
      <c r="M427" s="59">
        <f t="shared" si="108"/>
        <v>27443.599179323617</v>
      </c>
      <c r="N427" s="80">
        <f t="shared" si="113"/>
        <v>82762.071401545836</v>
      </c>
      <c r="O427" s="54">
        <f t="shared" si="114"/>
        <v>27364.586986268176</v>
      </c>
      <c r="P427" s="54">
        <f t="shared" si="115"/>
        <v>3941.9867586666655</v>
      </c>
      <c r="Q427" s="54">
        <f t="shared" si="116"/>
        <v>653364.64896348421</v>
      </c>
      <c r="R427" s="54">
        <f t="shared" si="117"/>
        <v>216029.55880077076</v>
      </c>
      <c r="S427" s="54">
        <f t="shared" si="118"/>
        <v>570602.57756193844</v>
      </c>
      <c r="T427" s="81">
        <f t="shared" si="119"/>
        <v>188664.97181450261</v>
      </c>
      <c r="U427" s="82">
        <f t="shared" si="120"/>
        <v>2051</v>
      </c>
      <c r="V427" s="414">
        <v>29.75</v>
      </c>
      <c r="W427" s="185"/>
      <c r="X427" s="185"/>
    </row>
    <row r="428" spans="1:29" s="113" customFormat="1" x14ac:dyDescent="0.2">
      <c r="A428" s="73">
        <v>358</v>
      </c>
      <c r="B428" s="74">
        <f t="shared" si="103"/>
        <v>0</v>
      </c>
      <c r="C428" s="75">
        <f t="shared" si="104"/>
        <v>0</v>
      </c>
      <c r="D428" s="75">
        <f t="shared" si="105"/>
        <v>159.28389816204339</v>
      </c>
      <c r="E428" s="54">
        <f t="shared" si="109"/>
        <v>159.28389816204339</v>
      </c>
      <c r="F428" s="76">
        <f t="shared" si="122"/>
        <v>61044.884257304424</v>
      </c>
      <c r="G428" s="77">
        <f t="shared" si="121"/>
        <v>325.0289117714949</v>
      </c>
      <c r="H428" s="79">
        <f t="shared" si="110"/>
        <v>116360.35041419585</v>
      </c>
      <c r="I428" s="78">
        <f t="shared" si="106"/>
        <v>165.74501360945152</v>
      </c>
      <c r="J428" s="76">
        <f t="shared" si="111"/>
        <v>55318.472222222219</v>
      </c>
      <c r="K428" s="80">
        <f t="shared" si="107"/>
        <v>106.18926544136225</v>
      </c>
      <c r="L428" s="78">
        <f t="shared" si="112"/>
        <v>6.8111585332906976</v>
      </c>
      <c r="M428" s="59">
        <f t="shared" si="108"/>
        <v>27443.599179323617</v>
      </c>
      <c r="N428" s="80">
        <f t="shared" si="113"/>
        <v>82762.071401545836</v>
      </c>
      <c r="O428" s="54">
        <f t="shared" si="114"/>
        <v>27285.00571958605</v>
      </c>
      <c r="P428" s="54">
        <f t="shared" si="115"/>
        <v>3949.0336989999992</v>
      </c>
      <c r="Q428" s="54">
        <f t="shared" si="116"/>
        <v>654532.64418493758</v>
      </c>
      <c r="R428" s="54">
        <f t="shared" si="117"/>
        <v>215786.36974410276</v>
      </c>
      <c r="S428" s="54">
        <f t="shared" si="118"/>
        <v>571770.57278339169</v>
      </c>
      <c r="T428" s="81">
        <f t="shared" si="119"/>
        <v>188501.36402451669</v>
      </c>
      <c r="U428" s="82">
        <f t="shared" si="120"/>
        <v>2051</v>
      </c>
      <c r="V428" s="414">
        <v>29.8333333333333</v>
      </c>
      <c r="W428" s="185"/>
      <c r="X428" s="185"/>
    </row>
    <row r="429" spans="1:29" s="113" customFormat="1" x14ac:dyDescent="0.2">
      <c r="A429" s="73">
        <v>359</v>
      </c>
      <c r="B429" s="74">
        <f t="shared" si="103"/>
        <v>0</v>
      </c>
      <c r="C429" s="75">
        <f t="shared" si="104"/>
        <v>0</v>
      </c>
      <c r="D429" s="75">
        <f t="shared" si="105"/>
        <v>159.28389816204339</v>
      </c>
      <c r="E429" s="54">
        <f t="shared" si="109"/>
        <v>159.28389816204339</v>
      </c>
      <c r="F429" s="76">
        <f t="shared" si="122"/>
        <v>61204.168155466468</v>
      </c>
      <c r="G429" s="77">
        <f t="shared" si="121"/>
        <v>325.0289117714949</v>
      </c>
      <c r="H429" s="79">
        <f t="shared" si="110"/>
        <v>116685.37932596735</v>
      </c>
      <c r="I429" s="78">
        <f t="shared" si="106"/>
        <v>165.74501360945152</v>
      </c>
      <c r="J429" s="76">
        <f t="shared" si="111"/>
        <v>55318.472222222219</v>
      </c>
      <c r="K429" s="80">
        <f t="shared" si="107"/>
        <v>106.18926544136225</v>
      </c>
      <c r="L429" s="78">
        <f t="shared" si="112"/>
        <v>6.8111585332906976</v>
      </c>
      <c r="M429" s="59">
        <f t="shared" si="108"/>
        <v>27443.599179323617</v>
      </c>
      <c r="N429" s="80">
        <f t="shared" si="113"/>
        <v>82762.071401545836</v>
      </c>
      <c r="O429" s="54">
        <f t="shared" si="114"/>
        <v>27205.655889907153</v>
      </c>
      <c r="P429" s="54">
        <f t="shared" si="115"/>
        <v>3956.0806393333328</v>
      </c>
      <c r="Q429" s="54">
        <f t="shared" si="116"/>
        <v>655700.63940639095</v>
      </c>
      <c r="R429" s="54">
        <f t="shared" si="117"/>
        <v>215542.76808674913</v>
      </c>
      <c r="S429" s="54">
        <f t="shared" si="118"/>
        <v>572938.56800484518</v>
      </c>
      <c r="T429" s="81">
        <f t="shared" si="119"/>
        <v>188337.112196842</v>
      </c>
      <c r="U429" s="82">
        <f t="shared" si="120"/>
        <v>2051</v>
      </c>
      <c r="V429" s="414">
        <v>29.9166666666666</v>
      </c>
      <c r="W429" s="185"/>
      <c r="X429" s="185"/>
    </row>
    <row r="430" spans="1:29" s="113" customFormat="1" ht="15" thickBot="1" x14ac:dyDescent="0.25">
      <c r="A430" s="91">
        <v>360</v>
      </c>
      <c r="B430" s="92">
        <f t="shared" si="103"/>
        <v>0</v>
      </c>
      <c r="C430" s="93">
        <f t="shared" si="104"/>
        <v>0</v>
      </c>
      <c r="D430" s="93">
        <f t="shared" si="105"/>
        <v>159.28389816204339</v>
      </c>
      <c r="E430" s="94">
        <f t="shared" si="109"/>
        <v>159.28389816204339</v>
      </c>
      <c r="F430" s="95">
        <f t="shared" si="122"/>
        <v>61363.452053628513</v>
      </c>
      <c r="G430" s="410">
        <f t="shared" si="121"/>
        <v>325.0289117714949</v>
      </c>
      <c r="H430" s="97">
        <f t="shared" si="110"/>
        <v>117010.40823773885</v>
      </c>
      <c r="I430" s="96">
        <f t="shared" si="106"/>
        <v>165.74501360945152</v>
      </c>
      <c r="J430" s="95">
        <f t="shared" si="111"/>
        <v>55318.472222222219</v>
      </c>
      <c r="K430" s="98">
        <f t="shared" si="107"/>
        <v>106.18926544136225</v>
      </c>
      <c r="L430" s="78">
        <f t="shared" si="112"/>
        <v>6.8111585332906976</v>
      </c>
      <c r="M430" s="59">
        <f t="shared" si="108"/>
        <v>27443.599179323617</v>
      </c>
      <c r="N430" s="98">
        <f t="shared" si="113"/>
        <v>82762.071401545836</v>
      </c>
      <c r="O430" s="94">
        <f t="shared" si="114"/>
        <v>27126.536824169983</v>
      </c>
      <c r="P430" s="94">
        <f t="shared" si="115"/>
        <v>3963.127579666666</v>
      </c>
      <c r="Q430" s="94">
        <f t="shared" si="116"/>
        <v>656868.63462784421</v>
      </c>
      <c r="R430" s="94">
        <f t="shared" si="117"/>
        <v>215298.75828532799</v>
      </c>
      <c r="S430" s="94">
        <f t="shared" si="118"/>
        <v>574106.56322629843</v>
      </c>
      <c r="T430" s="411">
        <f t="shared" si="119"/>
        <v>188172.22146115804</v>
      </c>
      <c r="U430" s="416">
        <f t="shared" si="120"/>
        <v>2051</v>
      </c>
      <c r="V430" s="415">
        <v>30</v>
      </c>
      <c r="W430" s="185"/>
      <c r="X430" s="185"/>
    </row>
    <row r="431" spans="1:29" s="113" customFormat="1" x14ac:dyDescent="0.2">
      <c r="A431" s="177"/>
      <c r="B431" s="186"/>
      <c r="C431" s="186"/>
      <c r="D431" s="186"/>
      <c r="E431" s="182"/>
      <c r="F431" s="182"/>
      <c r="G431" s="187"/>
      <c r="H431" s="187"/>
      <c r="I431" s="187"/>
      <c r="J431" s="182"/>
      <c r="K431" s="182"/>
      <c r="L431" s="187"/>
      <c r="M431" s="182"/>
      <c r="N431" s="182"/>
      <c r="O431" s="51"/>
      <c r="P431" s="182"/>
      <c r="Q431" s="182"/>
      <c r="R431" s="54"/>
      <c r="S431" s="182"/>
      <c r="T431" s="190"/>
      <c r="U431" s="406"/>
      <c r="V431" s="182"/>
      <c r="W431" s="165"/>
      <c r="X431" s="165"/>
      <c r="Y431" s="185"/>
      <c r="Z431" s="185"/>
    </row>
    <row r="432" spans="1:29" ht="15" x14ac:dyDescent="0.2">
      <c r="A432" s="188"/>
      <c r="B432" s="32"/>
      <c r="C432" s="32"/>
      <c r="D432" s="32"/>
      <c r="E432" s="32"/>
      <c r="F432" s="32"/>
      <c r="G432" s="32"/>
      <c r="I432" s="40"/>
      <c r="J432" s="186"/>
      <c r="K432" s="186"/>
      <c r="L432" s="186"/>
      <c r="M432" s="186"/>
      <c r="N432" s="186"/>
      <c r="O432" s="186"/>
      <c r="P432" s="186"/>
      <c r="Q432" s="182"/>
      <c r="R432" s="182"/>
      <c r="S432" s="182"/>
      <c r="T432" s="186"/>
      <c r="U432" s="186"/>
      <c r="AA432" s="113"/>
      <c r="AB432" s="113"/>
      <c r="AC432" s="113"/>
    </row>
    <row r="433" spans="1:28" x14ac:dyDescent="0.2">
      <c r="A433" s="12"/>
      <c r="D433" s="182"/>
      <c r="E433" s="182"/>
      <c r="F433" s="182"/>
      <c r="I433" s="40"/>
      <c r="J433" s="186"/>
      <c r="K433" s="186"/>
      <c r="L433" s="186"/>
      <c r="M433" s="186"/>
      <c r="N433" s="186"/>
      <c r="O433" s="186"/>
      <c r="P433" s="186"/>
      <c r="Q433" s="182"/>
      <c r="R433" s="182"/>
      <c r="S433" s="182"/>
      <c r="T433" s="186"/>
      <c r="U433" s="186"/>
      <c r="AA433" s="35"/>
      <c r="AB433" s="35"/>
    </row>
    <row r="434" spans="1:28" x14ac:dyDescent="0.2">
      <c r="A434" s="12"/>
      <c r="B434" s="182"/>
      <c r="D434" s="182"/>
      <c r="E434" s="182"/>
      <c r="F434" s="182"/>
      <c r="I434" s="40"/>
      <c r="J434" s="186"/>
      <c r="K434" s="186"/>
      <c r="L434" s="186"/>
      <c r="M434" s="186"/>
      <c r="N434" s="186"/>
      <c r="O434" s="186"/>
      <c r="P434" s="186"/>
      <c r="Q434" s="182"/>
      <c r="R434" s="182"/>
      <c r="S434" s="182"/>
      <c r="T434" s="186"/>
      <c r="U434" s="186"/>
      <c r="AA434" s="35"/>
      <c r="AB434" s="35"/>
    </row>
    <row r="435" spans="1:28" x14ac:dyDescent="0.2">
      <c r="A435" s="12"/>
      <c r="B435" s="182"/>
      <c r="D435" s="182"/>
      <c r="E435" s="182"/>
      <c r="F435" s="182"/>
      <c r="I435" s="40"/>
      <c r="J435" s="186"/>
      <c r="K435" s="186"/>
      <c r="L435" s="186"/>
      <c r="M435" s="186"/>
      <c r="N435" s="186"/>
      <c r="O435" s="186"/>
      <c r="P435" s="186"/>
      <c r="Q435" s="182"/>
      <c r="R435" s="182"/>
      <c r="S435" s="182"/>
      <c r="T435" s="186"/>
      <c r="U435" s="186"/>
      <c r="AA435" s="35"/>
      <c r="AB435" s="35"/>
    </row>
    <row r="436" spans="1:28" x14ac:dyDescent="0.2">
      <c r="A436" s="12"/>
      <c r="B436" s="182"/>
      <c r="D436" s="182"/>
      <c r="E436" s="182"/>
      <c r="F436" s="182"/>
      <c r="I436" s="40"/>
      <c r="J436" s="186"/>
      <c r="K436" s="186"/>
      <c r="L436" s="186"/>
      <c r="M436" s="186"/>
      <c r="N436" s="186"/>
      <c r="O436" s="186"/>
      <c r="P436" s="186"/>
      <c r="Q436" s="182"/>
      <c r="R436" s="182"/>
      <c r="S436" s="182"/>
      <c r="T436" s="186"/>
      <c r="U436" s="186"/>
      <c r="AA436" s="35"/>
      <c r="AB436" s="35"/>
    </row>
    <row r="437" spans="1:28" x14ac:dyDescent="0.2">
      <c r="B437" s="182"/>
      <c r="C437" s="182"/>
      <c r="D437" s="182"/>
      <c r="E437" s="182"/>
      <c r="F437" s="182"/>
      <c r="I437" s="40"/>
      <c r="J437" s="186"/>
      <c r="K437" s="186"/>
      <c r="L437" s="186"/>
      <c r="M437" s="186"/>
      <c r="N437" s="186"/>
      <c r="O437" s="186"/>
      <c r="P437" s="186"/>
      <c r="Q437" s="182"/>
      <c r="R437" s="182"/>
      <c r="S437" s="182"/>
      <c r="T437" s="186"/>
      <c r="U437" s="186"/>
      <c r="AA437" s="35"/>
      <c r="AB437" s="35"/>
    </row>
    <row r="438" spans="1:28" ht="15" x14ac:dyDescent="0.25">
      <c r="A438" s="12"/>
      <c r="B438" s="173"/>
      <c r="C438" s="173"/>
      <c r="D438" s="173"/>
      <c r="E438" s="173"/>
      <c r="F438" s="173"/>
      <c r="G438" s="173"/>
      <c r="H438" s="173"/>
      <c r="I438" s="173"/>
      <c r="J438" s="173"/>
      <c r="K438" s="173"/>
      <c r="L438" s="173"/>
      <c r="M438" s="173"/>
      <c r="N438" s="173"/>
      <c r="O438" s="173"/>
      <c r="P438" s="173"/>
      <c r="Q438" s="173"/>
      <c r="R438" s="173"/>
      <c r="S438" s="173"/>
      <c r="T438" s="173"/>
      <c r="U438" s="173"/>
      <c r="V438" s="275"/>
      <c r="W438" s="8"/>
      <c r="X438" s="8"/>
      <c r="AA438" s="35"/>
      <c r="AB438" s="35"/>
    </row>
    <row r="439" spans="1:28" x14ac:dyDescent="0.2">
      <c r="A439" s="189"/>
      <c r="B439" s="174"/>
      <c r="C439" s="174"/>
      <c r="D439" s="174"/>
      <c r="E439" s="174"/>
      <c r="F439" s="174"/>
      <c r="G439" s="174"/>
      <c r="H439" s="174"/>
      <c r="I439" s="174"/>
      <c r="J439" s="174"/>
      <c r="K439" s="174"/>
      <c r="L439" s="174"/>
      <c r="M439" s="174"/>
      <c r="N439" s="174"/>
      <c r="O439" s="174"/>
      <c r="P439" s="174"/>
      <c r="Q439" s="174"/>
      <c r="R439" s="174"/>
      <c r="S439" s="174"/>
      <c r="T439" s="174"/>
      <c r="U439" s="174"/>
      <c r="V439" s="276"/>
      <c r="W439" s="174"/>
      <c r="X439" s="174"/>
      <c r="AA439" s="35"/>
      <c r="AB439" s="35"/>
    </row>
    <row r="440" spans="1:28" ht="15" x14ac:dyDescent="0.25">
      <c r="A440" s="178"/>
      <c r="B440" s="169"/>
      <c r="C440" s="169"/>
      <c r="D440" s="169"/>
      <c r="E440" s="169"/>
      <c r="F440" s="169"/>
      <c r="G440" s="169"/>
      <c r="H440" s="169"/>
      <c r="I440" s="169"/>
      <c r="J440" s="169"/>
      <c r="K440" s="169"/>
      <c r="L440" s="169"/>
      <c r="M440" s="169"/>
      <c r="N440" s="169"/>
      <c r="O440" s="169"/>
      <c r="P440" s="169"/>
      <c r="Q440" s="169"/>
      <c r="R440" s="169"/>
      <c r="S440" s="169"/>
      <c r="T440" s="169"/>
      <c r="U440" s="169"/>
      <c r="V440" s="175"/>
      <c r="W440" s="175"/>
      <c r="X440" s="175"/>
      <c r="AA440" s="35"/>
      <c r="AB440" s="35"/>
    </row>
    <row r="441" spans="1:28" ht="15" x14ac:dyDescent="0.25">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277"/>
      <c r="W441" s="176"/>
      <c r="X441" s="176"/>
      <c r="AA441" s="35"/>
      <c r="AB441" s="35"/>
    </row>
    <row r="442" spans="1:28" x14ac:dyDescent="0.2">
      <c r="A442" s="177"/>
      <c r="B442" s="186"/>
      <c r="C442" s="186"/>
      <c r="D442" s="186"/>
      <c r="E442" s="182"/>
      <c r="F442" s="182"/>
      <c r="G442" s="187"/>
      <c r="H442" s="187"/>
      <c r="I442" s="187"/>
      <c r="J442" s="182"/>
      <c r="K442" s="182"/>
      <c r="L442" s="187"/>
      <c r="M442" s="182"/>
      <c r="N442" s="182"/>
      <c r="O442" s="182"/>
      <c r="P442" s="182"/>
      <c r="Q442" s="182"/>
      <c r="R442" s="182"/>
      <c r="S442" s="182"/>
      <c r="T442" s="182"/>
      <c r="U442" s="182"/>
      <c r="AA442" s="35"/>
      <c r="AB442" s="35"/>
    </row>
    <row r="443" spans="1:28" x14ac:dyDescent="0.2">
      <c r="A443" s="177"/>
      <c r="B443" s="186"/>
      <c r="C443" s="186"/>
      <c r="D443" s="186"/>
      <c r="E443" s="182"/>
      <c r="F443" s="182"/>
      <c r="G443" s="187"/>
      <c r="H443" s="187"/>
      <c r="I443" s="187"/>
      <c r="J443" s="182"/>
      <c r="K443" s="182"/>
      <c r="L443" s="187"/>
      <c r="M443" s="182"/>
      <c r="N443" s="182"/>
      <c r="O443" s="182"/>
      <c r="P443" s="182"/>
      <c r="Q443" s="182"/>
      <c r="R443" s="182"/>
      <c r="S443" s="182"/>
      <c r="T443" s="182"/>
      <c r="U443" s="182"/>
      <c r="AA443" s="35"/>
      <c r="AB443" s="35"/>
    </row>
    <row r="444" spans="1:28" x14ac:dyDescent="0.2">
      <c r="A444" s="177"/>
      <c r="B444" s="186"/>
      <c r="C444" s="186"/>
      <c r="D444" s="186"/>
      <c r="E444" s="182"/>
      <c r="F444" s="182"/>
      <c r="G444" s="187"/>
      <c r="H444" s="187"/>
      <c r="I444" s="187"/>
      <c r="J444" s="182"/>
      <c r="K444" s="182"/>
      <c r="L444" s="187"/>
      <c r="M444" s="182"/>
      <c r="N444" s="182"/>
      <c r="O444" s="182"/>
      <c r="P444" s="182"/>
      <c r="Q444" s="182"/>
      <c r="R444" s="182"/>
      <c r="S444" s="182"/>
      <c r="T444" s="182"/>
      <c r="U444" s="182"/>
      <c r="AA444" s="35"/>
      <c r="AB444" s="35"/>
    </row>
    <row r="445" spans="1:28" x14ac:dyDescent="0.2">
      <c r="A445" s="177"/>
      <c r="B445" s="186"/>
      <c r="C445" s="186"/>
      <c r="D445" s="186"/>
      <c r="E445" s="182"/>
      <c r="F445" s="182"/>
      <c r="G445" s="187"/>
      <c r="H445" s="187"/>
      <c r="I445" s="187"/>
      <c r="J445" s="182"/>
      <c r="K445" s="182"/>
      <c r="L445" s="187"/>
      <c r="M445" s="182"/>
      <c r="N445" s="182"/>
      <c r="O445" s="182"/>
      <c r="P445" s="182"/>
      <c r="Q445" s="182"/>
      <c r="R445" s="182"/>
      <c r="S445" s="182"/>
      <c r="T445" s="182"/>
      <c r="U445" s="182"/>
      <c r="AA445" s="35"/>
      <c r="AB445" s="35"/>
    </row>
    <row r="446" spans="1:28" x14ac:dyDescent="0.2">
      <c r="A446" s="177"/>
      <c r="B446" s="186"/>
      <c r="C446" s="186"/>
      <c r="D446" s="186"/>
      <c r="E446" s="182"/>
      <c r="F446" s="182"/>
      <c r="G446" s="187"/>
      <c r="H446" s="187"/>
      <c r="I446" s="187"/>
      <c r="J446" s="182"/>
      <c r="K446" s="182"/>
      <c r="L446" s="187"/>
      <c r="M446" s="182"/>
      <c r="N446" s="182"/>
      <c r="O446" s="182"/>
      <c r="P446" s="182"/>
      <c r="Q446" s="182"/>
      <c r="R446" s="182"/>
      <c r="S446" s="182"/>
      <c r="T446" s="182"/>
      <c r="U446" s="182"/>
      <c r="AA446" s="35"/>
      <c r="AB446" s="35"/>
    </row>
    <row r="447" spans="1:28" x14ac:dyDescent="0.2">
      <c r="A447" s="177"/>
      <c r="B447" s="186"/>
      <c r="C447" s="186"/>
      <c r="D447" s="186"/>
      <c r="E447" s="182"/>
      <c r="F447" s="182"/>
      <c r="G447" s="187"/>
      <c r="H447" s="187"/>
      <c r="I447" s="187"/>
      <c r="J447" s="182"/>
      <c r="K447" s="182"/>
      <c r="L447" s="187"/>
      <c r="M447" s="182"/>
      <c r="N447" s="182"/>
      <c r="O447" s="182"/>
      <c r="P447" s="182"/>
      <c r="Q447" s="182"/>
      <c r="R447" s="182"/>
      <c r="S447" s="182"/>
      <c r="T447" s="182"/>
      <c r="U447" s="182"/>
      <c r="AA447" s="35"/>
      <c r="AB447" s="35"/>
    </row>
    <row r="448" spans="1:28" x14ac:dyDescent="0.2">
      <c r="A448" s="177"/>
      <c r="B448" s="186"/>
      <c r="C448" s="186"/>
      <c r="D448" s="186"/>
      <c r="E448" s="182"/>
      <c r="F448" s="182"/>
      <c r="G448" s="187"/>
      <c r="H448" s="187"/>
      <c r="I448" s="187"/>
      <c r="J448" s="182"/>
      <c r="K448" s="182"/>
      <c r="L448" s="187"/>
      <c r="M448" s="182"/>
      <c r="N448" s="182"/>
      <c r="O448" s="182"/>
      <c r="P448" s="182"/>
      <c r="Q448" s="182"/>
      <c r="R448" s="182"/>
      <c r="S448" s="182"/>
      <c r="T448" s="182"/>
      <c r="U448" s="182"/>
      <c r="AA448" s="35"/>
      <c r="AB448" s="35"/>
    </row>
    <row r="449" spans="1:28" x14ac:dyDescent="0.2">
      <c r="A449" s="177"/>
      <c r="B449" s="186"/>
      <c r="C449" s="186"/>
      <c r="D449" s="186"/>
      <c r="E449" s="182"/>
      <c r="F449" s="182"/>
      <c r="G449" s="187"/>
      <c r="H449" s="187"/>
      <c r="I449" s="187"/>
      <c r="J449" s="182"/>
      <c r="K449" s="182"/>
      <c r="L449" s="187"/>
      <c r="M449" s="182"/>
      <c r="N449" s="182"/>
      <c r="O449" s="182"/>
      <c r="P449" s="182"/>
      <c r="Q449" s="182"/>
      <c r="R449" s="182"/>
      <c r="S449" s="182"/>
      <c r="T449" s="182"/>
      <c r="U449" s="182"/>
      <c r="AA449" s="35"/>
      <c r="AB449" s="35"/>
    </row>
    <row r="450" spans="1:28" x14ac:dyDescent="0.2">
      <c r="A450" s="177"/>
      <c r="B450" s="186"/>
      <c r="C450" s="186"/>
      <c r="D450" s="186"/>
      <c r="E450" s="182"/>
      <c r="F450" s="182"/>
      <c r="G450" s="187"/>
      <c r="H450" s="187"/>
      <c r="I450" s="187"/>
      <c r="J450" s="182"/>
      <c r="K450" s="182"/>
      <c r="L450" s="187"/>
      <c r="M450" s="182"/>
      <c r="N450" s="182"/>
      <c r="O450" s="182"/>
      <c r="P450" s="182"/>
      <c r="Q450" s="182"/>
      <c r="R450" s="182"/>
      <c r="S450" s="182"/>
      <c r="T450" s="182"/>
      <c r="U450" s="182"/>
      <c r="AA450" s="35"/>
      <c r="AB450" s="35"/>
    </row>
    <row r="451" spans="1:28" x14ac:dyDescent="0.2">
      <c r="A451" s="177"/>
      <c r="B451" s="186"/>
      <c r="C451" s="186"/>
      <c r="D451" s="186"/>
      <c r="E451" s="182"/>
      <c r="F451" s="182"/>
      <c r="G451" s="187"/>
      <c r="H451" s="187"/>
      <c r="I451" s="187"/>
      <c r="J451" s="182"/>
      <c r="K451" s="182"/>
      <c r="L451" s="187"/>
      <c r="M451" s="182"/>
      <c r="N451" s="182"/>
      <c r="O451" s="182"/>
      <c r="P451" s="182"/>
      <c r="Q451" s="182"/>
      <c r="R451" s="182"/>
      <c r="S451" s="182"/>
      <c r="T451" s="182"/>
      <c r="U451" s="182"/>
      <c r="AA451" s="35"/>
      <c r="AB451" s="35"/>
    </row>
    <row r="452" spans="1:28" x14ac:dyDescent="0.2">
      <c r="A452" s="177"/>
      <c r="B452" s="186"/>
      <c r="C452" s="186"/>
      <c r="D452" s="186"/>
      <c r="E452" s="182"/>
      <c r="F452" s="182"/>
      <c r="G452" s="187"/>
      <c r="H452" s="187"/>
      <c r="I452" s="187"/>
      <c r="J452" s="182"/>
      <c r="K452" s="182"/>
      <c r="L452" s="187"/>
      <c r="M452" s="182"/>
      <c r="N452" s="182"/>
      <c r="O452" s="182"/>
      <c r="P452" s="182"/>
      <c r="Q452" s="182"/>
      <c r="R452" s="182"/>
      <c r="S452" s="182"/>
      <c r="T452" s="182"/>
      <c r="U452" s="182"/>
      <c r="AA452" s="35"/>
      <c r="AB452" s="35"/>
    </row>
    <row r="453" spans="1:28" x14ac:dyDescent="0.2">
      <c r="A453" s="177"/>
      <c r="B453" s="186"/>
      <c r="C453" s="186"/>
      <c r="D453" s="186"/>
      <c r="E453" s="182"/>
      <c r="F453" s="182"/>
      <c r="G453" s="187"/>
      <c r="H453" s="187"/>
      <c r="I453" s="187"/>
      <c r="J453" s="182"/>
      <c r="K453" s="182"/>
      <c r="L453" s="187"/>
      <c r="M453" s="182"/>
      <c r="N453" s="182"/>
      <c r="O453" s="182"/>
      <c r="P453" s="182"/>
      <c r="Q453" s="182"/>
      <c r="R453" s="182"/>
      <c r="S453" s="182"/>
      <c r="T453" s="182"/>
      <c r="U453" s="182"/>
      <c r="AA453" s="35"/>
      <c r="AB453" s="35"/>
    </row>
    <row r="454" spans="1:28" x14ac:dyDescent="0.2">
      <c r="A454" s="177"/>
      <c r="B454" s="186"/>
      <c r="C454" s="186"/>
      <c r="D454" s="186"/>
      <c r="E454" s="182"/>
      <c r="F454" s="182"/>
      <c r="G454" s="187"/>
      <c r="H454" s="187"/>
      <c r="I454" s="187"/>
      <c r="J454" s="182"/>
      <c r="K454" s="182"/>
      <c r="L454" s="187"/>
      <c r="M454" s="182"/>
      <c r="N454" s="182"/>
      <c r="O454" s="182"/>
      <c r="P454" s="182"/>
      <c r="Q454" s="182"/>
      <c r="R454" s="182"/>
      <c r="S454" s="182"/>
      <c r="T454" s="182"/>
      <c r="U454" s="182"/>
      <c r="AA454" s="35"/>
      <c r="AB454" s="35"/>
    </row>
    <row r="455" spans="1:28" x14ac:dyDescent="0.2">
      <c r="A455" s="177"/>
      <c r="B455" s="186"/>
      <c r="C455" s="186"/>
      <c r="D455" s="186"/>
      <c r="E455" s="182"/>
      <c r="F455" s="182"/>
      <c r="G455" s="187"/>
      <c r="H455" s="187"/>
      <c r="I455" s="187"/>
      <c r="J455" s="182"/>
      <c r="K455" s="182"/>
      <c r="L455" s="187"/>
      <c r="M455" s="182"/>
      <c r="N455" s="182"/>
      <c r="O455" s="182"/>
      <c r="P455" s="182"/>
      <c r="Q455" s="182"/>
      <c r="R455" s="182"/>
      <c r="S455" s="182"/>
      <c r="T455" s="182"/>
      <c r="U455" s="182"/>
      <c r="AA455" s="35"/>
      <c r="AB455" s="35"/>
    </row>
    <row r="456" spans="1:28" x14ac:dyDescent="0.2">
      <c r="A456" s="177"/>
      <c r="B456" s="186"/>
      <c r="C456" s="186"/>
      <c r="D456" s="186"/>
      <c r="E456" s="182"/>
      <c r="F456" s="182"/>
      <c r="G456" s="187"/>
      <c r="H456" s="187"/>
      <c r="I456" s="187"/>
      <c r="J456" s="182"/>
      <c r="K456" s="182"/>
      <c r="L456" s="187"/>
      <c r="M456" s="182"/>
      <c r="N456" s="182"/>
      <c r="O456" s="182"/>
      <c r="P456" s="182"/>
      <c r="Q456" s="182"/>
      <c r="R456" s="182"/>
      <c r="S456" s="182"/>
      <c r="T456" s="182"/>
      <c r="U456" s="182"/>
      <c r="AA456" s="35"/>
      <c r="AB456" s="35"/>
    </row>
    <row r="457" spans="1:28" x14ac:dyDescent="0.2">
      <c r="A457" s="177"/>
      <c r="B457" s="186"/>
      <c r="C457" s="186"/>
      <c r="D457" s="186"/>
      <c r="E457" s="182"/>
      <c r="F457" s="182"/>
      <c r="G457" s="187"/>
      <c r="H457" s="187"/>
      <c r="I457" s="187"/>
      <c r="J457" s="182"/>
      <c r="K457" s="182"/>
      <c r="L457" s="187"/>
      <c r="M457" s="182"/>
      <c r="N457" s="182"/>
      <c r="O457" s="182"/>
      <c r="P457" s="182"/>
      <c r="Q457" s="182"/>
      <c r="R457" s="182"/>
      <c r="S457" s="182"/>
      <c r="T457" s="182"/>
      <c r="U457" s="182"/>
      <c r="AA457" s="35"/>
      <c r="AB457" s="35"/>
    </row>
    <row r="458" spans="1:28" x14ac:dyDescent="0.2">
      <c r="A458" s="177"/>
      <c r="B458" s="186"/>
      <c r="C458" s="186"/>
      <c r="D458" s="186"/>
      <c r="E458" s="182"/>
      <c r="F458" s="182"/>
      <c r="G458" s="187"/>
      <c r="H458" s="187"/>
      <c r="I458" s="187"/>
      <c r="J458" s="182"/>
      <c r="K458" s="182"/>
      <c r="L458" s="187"/>
      <c r="M458" s="182"/>
      <c r="N458" s="182"/>
      <c r="O458" s="182"/>
      <c r="P458" s="182"/>
      <c r="Q458" s="182"/>
      <c r="R458" s="182"/>
      <c r="S458" s="182"/>
      <c r="T458" s="182"/>
      <c r="U458" s="182"/>
      <c r="AA458" s="35"/>
      <c r="AB458" s="35"/>
    </row>
    <row r="459" spans="1:28" x14ac:dyDescent="0.2">
      <c r="A459" s="177"/>
      <c r="B459" s="186"/>
      <c r="C459" s="186"/>
      <c r="D459" s="186"/>
      <c r="E459" s="182"/>
      <c r="F459" s="182"/>
      <c r="G459" s="187"/>
      <c r="H459" s="187"/>
      <c r="I459" s="187"/>
      <c r="J459" s="182"/>
      <c r="K459" s="182"/>
      <c r="L459" s="187"/>
      <c r="M459" s="182"/>
      <c r="N459" s="182"/>
      <c r="O459" s="182"/>
      <c r="P459" s="182"/>
      <c r="Q459" s="182"/>
      <c r="R459" s="182"/>
      <c r="S459" s="182"/>
      <c r="T459" s="182"/>
      <c r="U459" s="182"/>
      <c r="AA459" s="35"/>
      <c r="AB459" s="35"/>
    </row>
    <row r="460" spans="1:28" x14ac:dyDescent="0.2">
      <c r="A460" s="177"/>
      <c r="B460" s="186"/>
      <c r="C460" s="186"/>
      <c r="D460" s="186"/>
      <c r="E460" s="182"/>
      <c r="F460" s="182"/>
      <c r="G460" s="187"/>
      <c r="H460" s="187"/>
      <c r="I460" s="187"/>
      <c r="J460" s="182"/>
      <c r="K460" s="182"/>
      <c r="L460" s="187"/>
      <c r="M460" s="182"/>
      <c r="N460" s="182"/>
      <c r="O460" s="182"/>
      <c r="P460" s="182"/>
      <c r="Q460" s="182"/>
      <c r="R460" s="182"/>
      <c r="S460" s="182"/>
      <c r="T460" s="182"/>
      <c r="U460" s="182"/>
      <c r="AA460" s="35"/>
      <c r="AB460" s="35"/>
    </row>
    <row r="461" spans="1:28" x14ac:dyDescent="0.2">
      <c r="A461" s="177"/>
      <c r="B461" s="186"/>
      <c r="C461" s="186"/>
      <c r="D461" s="186"/>
      <c r="E461" s="182"/>
      <c r="F461" s="182"/>
      <c r="G461" s="187"/>
      <c r="H461" s="187"/>
      <c r="I461" s="187"/>
      <c r="J461" s="182"/>
      <c r="K461" s="182"/>
      <c r="L461" s="187"/>
      <c r="M461" s="182"/>
      <c r="N461" s="182"/>
      <c r="O461" s="182"/>
      <c r="P461" s="182"/>
      <c r="Q461" s="182"/>
      <c r="R461" s="182"/>
      <c r="S461" s="182"/>
      <c r="T461" s="182"/>
      <c r="U461" s="182"/>
      <c r="AA461" s="35"/>
      <c r="AB461" s="35"/>
    </row>
    <row r="462" spans="1:28" x14ac:dyDescent="0.2">
      <c r="A462" s="177"/>
      <c r="B462" s="186"/>
      <c r="C462" s="186"/>
      <c r="D462" s="186"/>
      <c r="E462" s="182"/>
      <c r="F462" s="182"/>
      <c r="G462" s="187"/>
      <c r="H462" s="187"/>
      <c r="I462" s="187"/>
      <c r="J462" s="182"/>
      <c r="K462" s="182"/>
      <c r="L462" s="187"/>
      <c r="M462" s="182"/>
      <c r="N462" s="182"/>
      <c r="O462" s="182"/>
      <c r="P462" s="182"/>
      <c r="Q462" s="182"/>
      <c r="R462" s="182"/>
      <c r="S462" s="182"/>
      <c r="T462" s="182"/>
      <c r="U462" s="182"/>
      <c r="AA462" s="35"/>
      <c r="AB462" s="35"/>
    </row>
    <row r="463" spans="1:28" x14ac:dyDescent="0.2">
      <c r="A463" s="177"/>
      <c r="B463" s="186"/>
      <c r="C463" s="186"/>
      <c r="D463" s="186"/>
      <c r="E463" s="182"/>
      <c r="F463" s="182"/>
      <c r="G463" s="187"/>
      <c r="H463" s="187"/>
      <c r="I463" s="187"/>
      <c r="J463" s="182"/>
      <c r="K463" s="182"/>
      <c r="L463" s="187"/>
      <c r="M463" s="182"/>
      <c r="N463" s="182"/>
      <c r="O463" s="182"/>
      <c r="P463" s="182"/>
      <c r="Q463" s="182"/>
      <c r="R463" s="182"/>
      <c r="S463" s="182"/>
      <c r="T463" s="182"/>
      <c r="U463" s="182"/>
      <c r="AA463" s="35"/>
      <c r="AB463" s="35"/>
    </row>
    <row r="464" spans="1:28" x14ac:dyDescent="0.2">
      <c r="A464" s="177"/>
      <c r="B464" s="186"/>
      <c r="C464" s="186"/>
      <c r="D464" s="186"/>
      <c r="E464" s="182"/>
      <c r="F464" s="182"/>
      <c r="G464" s="187"/>
      <c r="H464" s="187"/>
      <c r="I464" s="187"/>
      <c r="J464" s="182"/>
      <c r="K464" s="182"/>
      <c r="L464" s="187"/>
      <c r="M464" s="182"/>
      <c r="N464" s="182"/>
      <c r="O464" s="182"/>
      <c r="P464" s="182"/>
      <c r="Q464" s="182"/>
      <c r="R464" s="182"/>
      <c r="S464" s="182"/>
      <c r="T464" s="182"/>
      <c r="U464" s="182"/>
      <c r="AA464" s="35"/>
      <c r="AB464" s="35"/>
    </row>
    <row r="465" spans="1:28" x14ac:dyDescent="0.2">
      <c r="A465" s="177"/>
      <c r="B465" s="186"/>
      <c r="C465" s="186"/>
      <c r="D465" s="186"/>
      <c r="E465" s="182"/>
      <c r="F465" s="182"/>
      <c r="G465" s="187"/>
      <c r="H465" s="187"/>
      <c r="I465" s="187"/>
      <c r="J465" s="182"/>
      <c r="K465" s="182"/>
      <c r="L465" s="187"/>
      <c r="M465" s="182"/>
      <c r="N465" s="182"/>
      <c r="O465" s="182"/>
      <c r="P465" s="182"/>
      <c r="Q465" s="182"/>
      <c r="R465" s="182"/>
      <c r="S465" s="182"/>
      <c r="T465" s="182"/>
      <c r="U465" s="182"/>
      <c r="AA465" s="35"/>
      <c r="AB465" s="35"/>
    </row>
    <row r="466" spans="1:28" x14ac:dyDescent="0.2">
      <c r="A466" s="177"/>
      <c r="B466" s="186"/>
      <c r="C466" s="186"/>
      <c r="D466" s="186"/>
      <c r="E466" s="182"/>
      <c r="F466" s="182"/>
      <c r="G466" s="187"/>
      <c r="H466" s="187"/>
      <c r="I466" s="187"/>
      <c r="J466" s="182"/>
      <c r="K466" s="182"/>
      <c r="L466" s="187"/>
      <c r="M466" s="182"/>
      <c r="N466" s="182"/>
      <c r="O466" s="182"/>
      <c r="P466" s="182"/>
      <c r="Q466" s="182"/>
      <c r="R466" s="182"/>
      <c r="S466" s="182"/>
      <c r="T466" s="182"/>
      <c r="U466" s="182"/>
      <c r="AA466" s="35"/>
      <c r="AB466" s="35"/>
    </row>
    <row r="467" spans="1:28" x14ac:dyDescent="0.2">
      <c r="A467" s="177"/>
      <c r="B467" s="186"/>
      <c r="C467" s="186"/>
      <c r="D467" s="186"/>
      <c r="E467" s="182"/>
      <c r="F467" s="182"/>
      <c r="G467" s="187"/>
      <c r="H467" s="187"/>
      <c r="I467" s="187"/>
      <c r="J467" s="182"/>
      <c r="K467" s="182"/>
      <c r="L467" s="187"/>
      <c r="M467" s="182"/>
      <c r="N467" s="182"/>
      <c r="O467" s="182"/>
      <c r="P467" s="182"/>
      <c r="Q467" s="182"/>
      <c r="R467" s="182"/>
      <c r="S467" s="182"/>
      <c r="T467" s="182"/>
      <c r="U467" s="182"/>
      <c r="AA467" s="35"/>
      <c r="AB467" s="35"/>
    </row>
    <row r="468" spans="1:28" x14ac:dyDescent="0.2">
      <c r="A468" s="177"/>
      <c r="B468" s="186"/>
      <c r="C468" s="186"/>
      <c r="D468" s="186"/>
      <c r="E468" s="182"/>
      <c r="F468" s="182"/>
      <c r="G468" s="187"/>
      <c r="H468" s="187"/>
      <c r="I468" s="187"/>
      <c r="J468" s="182"/>
      <c r="K468" s="182"/>
      <c r="L468" s="187"/>
      <c r="M468" s="182"/>
      <c r="N468" s="182"/>
      <c r="O468" s="182"/>
      <c r="P468" s="182"/>
      <c r="Q468" s="182"/>
      <c r="R468" s="182"/>
      <c r="S468" s="182"/>
      <c r="T468" s="182"/>
      <c r="U468" s="182"/>
      <c r="AA468" s="35"/>
      <c r="AB468" s="35"/>
    </row>
    <row r="469" spans="1:28" x14ac:dyDescent="0.2">
      <c r="A469" s="177"/>
      <c r="B469" s="186"/>
      <c r="C469" s="186"/>
      <c r="D469" s="186"/>
      <c r="E469" s="182"/>
      <c r="F469" s="182"/>
      <c r="G469" s="187"/>
      <c r="H469" s="187"/>
      <c r="I469" s="187"/>
      <c r="J469" s="182"/>
      <c r="K469" s="182"/>
      <c r="L469" s="187"/>
      <c r="M469" s="182"/>
      <c r="N469" s="182"/>
      <c r="O469" s="182"/>
      <c r="P469" s="182"/>
      <c r="Q469" s="182"/>
      <c r="R469" s="182"/>
      <c r="S469" s="182"/>
      <c r="T469" s="182"/>
      <c r="U469" s="182"/>
      <c r="AA469" s="35"/>
      <c r="AB469" s="35"/>
    </row>
    <row r="470" spans="1:28" x14ac:dyDescent="0.2">
      <c r="A470" s="177"/>
      <c r="B470" s="186"/>
      <c r="C470" s="186"/>
      <c r="D470" s="186"/>
      <c r="E470" s="182"/>
      <c r="F470" s="182"/>
      <c r="G470" s="187"/>
      <c r="H470" s="187"/>
      <c r="I470" s="187"/>
      <c r="J470" s="182"/>
      <c r="K470" s="182"/>
      <c r="L470" s="187"/>
      <c r="M470" s="182"/>
      <c r="N470" s="182"/>
      <c r="O470" s="182"/>
      <c r="P470" s="182"/>
      <c r="Q470" s="182"/>
      <c r="R470" s="182"/>
      <c r="S470" s="182"/>
      <c r="T470" s="182"/>
      <c r="U470" s="182"/>
      <c r="AA470" s="35"/>
      <c r="AB470" s="35"/>
    </row>
    <row r="471" spans="1:28" x14ac:dyDescent="0.2">
      <c r="A471" s="177"/>
      <c r="B471" s="186"/>
      <c r="C471" s="186"/>
      <c r="D471" s="186"/>
      <c r="E471" s="182"/>
      <c r="F471" s="182"/>
      <c r="G471" s="187"/>
      <c r="H471" s="187"/>
      <c r="I471" s="187"/>
      <c r="J471" s="182"/>
      <c r="K471" s="182"/>
      <c r="L471" s="187"/>
      <c r="M471" s="182"/>
      <c r="N471" s="182"/>
      <c r="O471" s="182"/>
      <c r="P471" s="182"/>
      <c r="Q471" s="182"/>
      <c r="R471" s="182"/>
      <c r="S471" s="182"/>
      <c r="T471" s="182"/>
      <c r="U471" s="182"/>
      <c r="AA471" s="35"/>
      <c r="AB471" s="35"/>
    </row>
    <row r="472" spans="1:28" x14ac:dyDescent="0.2">
      <c r="A472" s="177"/>
      <c r="B472" s="186"/>
      <c r="C472" s="186"/>
      <c r="D472" s="186"/>
      <c r="E472" s="182"/>
      <c r="F472" s="182"/>
      <c r="G472" s="187"/>
      <c r="H472" s="187"/>
      <c r="I472" s="187"/>
      <c r="J472" s="182"/>
      <c r="K472" s="182"/>
      <c r="L472" s="187"/>
      <c r="M472" s="182"/>
      <c r="N472" s="182"/>
      <c r="O472" s="182"/>
      <c r="P472" s="182"/>
      <c r="Q472" s="182"/>
      <c r="R472" s="182"/>
      <c r="S472" s="182"/>
      <c r="T472" s="182"/>
      <c r="U472" s="182"/>
      <c r="AA472" s="35"/>
      <c r="AB472" s="35"/>
    </row>
    <row r="473" spans="1:28" x14ac:dyDescent="0.2">
      <c r="A473" s="177"/>
      <c r="B473" s="186"/>
      <c r="C473" s="186"/>
      <c r="D473" s="186"/>
      <c r="E473" s="182"/>
      <c r="F473" s="182"/>
      <c r="G473" s="187"/>
      <c r="H473" s="187"/>
      <c r="I473" s="187"/>
      <c r="J473" s="182"/>
      <c r="K473" s="182"/>
      <c r="L473" s="187"/>
      <c r="M473" s="182"/>
      <c r="N473" s="182"/>
      <c r="O473" s="182"/>
      <c r="P473" s="182"/>
      <c r="Q473" s="182"/>
      <c r="R473" s="182"/>
      <c r="S473" s="182"/>
      <c r="T473" s="182"/>
      <c r="U473" s="182"/>
      <c r="AA473" s="35"/>
      <c r="AB473" s="35"/>
    </row>
    <row r="474" spans="1:28" x14ac:dyDescent="0.2">
      <c r="A474" s="177"/>
      <c r="B474" s="186"/>
      <c r="C474" s="186"/>
      <c r="D474" s="186"/>
      <c r="E474" s="182"/>
      <c r="F474" s="182"/>
      <c r="G474" s="187"/>
      <c r="H474" s="187"/>
      <c r="I474" s="187"/>
      <c r="J474" s="182"/>
      <c r="K474" s="182"/>
      <c r="L474" s="187"/>
      <c r="M474" s="182"/>
      <c r="N474" s="182"/>
      <c r="O474" s="182"/>
      <c r="P474" s="182"/>
      <c r="Q474" s="182"/>
      <c r="R474" s="182"/>
      <c r="S474" s="182"/>
      <c r="T474" s="182"/>
      <c r="U474" s="182"/>
      <c r="AA474" s="35"/>
      <c r="AB474" s="35"/>
    </row>
    <row r="475" spans="1:28" x14ac:dyDescent="0.2">
      <c r="A475" s="177"/>
      <c r="B475" s="186"/>
      <c r="C475" s="186"/>
      <c r="D475" s="186"/>
      <c r="E475" s="182"/>
      <c r="F475" s="182"/>
      <c r="G475" s="187"/>
      <c r="H475" s="187"/>
      <c r="I475" s="187"/>
      <c r="J475" s="182"/>
      <c r="K475" s="182"/>
      <c r="L475" s="187"/>
      <c r="M475" s="182"/>
      <c r="N475" s="182"/>
      <c r="O475" s="182"/>
      <c r="P475" s="182"/>
      <c r="Q475" s="182"/>
      <c r="R475" s="182"/>
      <c r="S475" s="182"/>
      <c r="T475" s="182"/>
      <c r="U475" s="182"/>
      <c r="AA475" s="35"/>
      <c r="AB475" s="35"/>
    </row>
    <row r="476" spans="1:28" x14ac:dyDescent="0.2">
      <c r="A476" s="177"/>
      <c r="B476" s="186"/>
      <c r="C476" s="186"/>
      <c r="D476" s="186"/>
      <c r="E476" s="182"/>
      <c r="F476" s="182"/>
      <c r="G476" s="187"/>
      <c r="H476" s="187"/>
      <c r="I476" s="187"/>
      <c r="J476" s="182"/>
      <c r="K476" s="182"/>
      <c r="L476" s="187"/>
      <c r="M476" s="182"/>
      <c r="N476" s="182"/>
      <c r="O476" s="182"/>
      <c r="P476" s="182"/>
      <c r="Q476" s="182"/>
      <c r="R476" s="182"/>
      <c r="S476" s="182"/>
      <c r="T476" s="182"/>
      <c r="U476" s="182"/>
      <c r="AA476" s="35"/>
      <c r="AB476" s="35"/>
    </row>
    <row r="477" spans="1:28" x14ac:dyDescent="0.2">
      <c r="A477" s="177"/>
      <c r="B477" s="186"/>
      <c r="C477" s="186"/>
      <c r="D477" s="186"/>
      <c r="E477" s="182"/>
      <c r="F477" s="182"/>
      <c r="G477" s="187"/>
      <c r="H477" s="187"/>
      <c r="I477" s="187"/>
      <c r="J477" s="182"/>
      <c r="K477" s="182"/>
      <c r="L477" s="187"/>
      <c r="M477" s="182"/>
      <c r="N477" s="182"/>
      <c r="O477" s="182"/>
      <c r="P477" s="182"/>
      <c r="Q477" s="182"/>
      <c r="R477" s="182"/>
      <c r="S477" s="182"/>
      <c r="T477" s="182"/>
      <c r="U477" s="182"/>
      <c r="AA477" s="35"/>
      <c r="AB477" s="35"/>
    </row>
    <row r="478" spans="1:28" x14ac:dyDescent="0.2">
      <c r="A478" s="177"/>
      <c r="B478" s="186"/>
      <c r="C478" s="186"/>
      <c r="D478" s="186"/>
      <c r="E478" s="182"/>
      <c r="F478" s="182"/>
      <c r="G478" s="187"/>
      <c r="H478" s="187"/>
      <c r="I478" s="187"/>
      <c r="J478" s="182"/>
      <c r="K478" s="182"/>
      <c r="L478" s="187"/>
      <c r="M478" s="182"/>
      <c r="N478" s="182"/>
      <c r="O478" s="182"/>
      <c r="P478" s="182"/>
      <c r="Q478" s="182"/>
      <c r="R478" s="182"/>
      <c r="S478" s="182"/>
      <c r="T478" s="182"/>
      <c r="U478" s="182"/>
      <c r="AA478" s="35"/>
      <c r="AB478" s="35"/>
    </row>
    <row r="479" spans="1:28" x14ac:dyDescent="0.2">
      <c r="A479" s="177"/>
      <c r="B479" s="186"/>
      <c r="C479" s="186"/>
      <c r="D479" s="186"/>
      <c r="E479" s="182"/>
      <c r="F479" s="182"/>
      <c r="G479" s="187"/>
      <c r="H479" s="187"/>
      <c r="I479" s="187"/>
      <c r="J479" s="182"/>
      <c r="K479" s="182"/>
      <c r="L479" s="187"/>
      <c r="M479" s="182"/>
      <c r="N479" s="182"/>
      <c r="O479" s="182"/>
      <c r="P479" s="182"/>
      <c r="Q479" s="182"/>
      <c r="R479" s="182"/>
      <c r="S479" s="182"/>
      <c r="T479" s="182"/>
      <c r="U479" s="182"/>
      <c r="AA479" s="35"/>
      <c r="AB479" s="35"/>
    </row>
    <row r="480" spans="1:28" x14ac:dyDescent="0.2">
      <c r="A480" s="177"/>
      <c r="B480" s="186"/>
      <c r="C480" s="186"/>
      <c r="D480" s="186"/>
      <c r="E480" s="182"/>
      <c r="F480" s="182"/>
      <c r="G480" s="187"/>
      <c r="H480" s="187"/>
      <c r="I480" s="187"/>
      <c r="J480" s="182"/>
      <c r="K480" s="182"/>
      <c r="L480" s="187"/>
      <c r="M480" s="182"/>
      <c r="N480" s="182"/>
      <c r="O480" s="182"/>
      <c r="P480" s="182"/>
      <c r="Q480" s="182"/>
      <c r="R480" s="182"/>
      <c r="S480" s="182"/>
      <c r="T480" s="182"/>
      <c r="U480" s="182"/>
      <c r="AA480" s="35"/>
      <c r="AB480" s="35"/>
    </row>
    <row r="481" spans="1:28" x14ac:dyDescent="0.2">
      <c r="A481" s="177"/>
      <c r="B481" s="186"/>
      <c r="C481" s="186"/>
      <c r="D481" s="186"/>
      <c r="E481" s="182"/>
      <c r="F481" s="182"/>
      <c r="G481" s="187"/>
      <c r="H481" s="187"/>
      <c r="I481" s="187"/>
      <c r="J481" s="182"/>
      <c r="K481" s="182"/>
      <c r="L481" s="187"/>
      <c r="M481" s="182"/>
      <c r="N481" s="182"/>
      <c r="O481" s="182"/>
      <c r="P481" s="182"/>
      <c r="Q481" s="182"/>
      <c r="R481" s="182"/>
      <c r="S481" s="182"/>
      <c r="T481" s="182"/>
      <c r="U481" s="182"/>
      <c r="AA481" s="35"/>
      <c r="AB481" s="35"/>
    </row>
    <row r="482" spans="1:28" x14ac:dyDescent="0.2">
      <c r="A482" s="177"/>
      <c r="B482" s="186"/>
      <c r="C482" s="186"/>
      <c r="D482" s="186"/>
      <c r="E482" s="182"/>
      <c r="F482" s="182"/>
      <c r="G482" s="187"/>
      <c r="H482" s="187"/>
      <c r="I482" s="187"/>
      <c r="J482" s="182"/>
      <c r="K482" s="182"/>
      <c r="L482" s="187"/>
      <c r="M482" s="182"/>
      <c r="N482" s="182"/>
      <c r="O482" s="182"/>
      <c r="P482" s="182"/>
      <c r="Q482" s="182"/>
      <c r="R482" s="182"/>
      <c r="S482" s="182"/>
      <c r="T482" s="182"/>
      <c r="U482" s="182"/>
      <c r="AA482" s="35"/>
      <c r="AB482" s="35"/>
    </row>
    <row r="483" spans="1:28" x14ac:dyDescent="0.2">
      <c r="A483" s="177"/>
      <c r="B483" s="186"/>
      <c r="C483" s="186"/>
      <c r="D483" s="186"/>
      <c r="E483" s="182"/>
      <c r="F483" s="182"/>
      <c r="G483" s="187"/>
      <c r="H483" s="187"/>
      <c r="I483" s="187"/>
      <c r="J483" s="182"/>
      <c r="K483" s="182"/>
      <c r="L483" s="187"/>
      <c r="M483" s="182"/>
      <c r="N483" s="182"/>
      <c r="O483" s="182"/>
      <c r="P483" s="182"/>
      <c r="Q483" s="182"/>
      <c r="R483" s="182"/>
      <c r="S483" s="182"/>
      <c r="T483" s="182"/>
      <c r="U483" s="182"/>
      <c r="AA483" s="35"/>
      <c r="AB483" s="35"/>
    </row>
    <row r="484" spans="1:28" x14ac:dyDescent="0.2">
      <c r="A484" s="177"/>
      <c r="B484" s="186"/>
      <c r="C484" s="186"/>
      <c r="D484" s="186"/>
      <c r="E484" s="182"/>
      <c r="F484" s="182"/>
      <c r="G484" s="187"/>
      <c r="H484" s="187"/>
      <c r="I484" s="187"/>
      <c r="J484" s="182"/>
      <c r="K484" s="182"/>
      <c r="L484" s="187"/>
      <c r="M484" s="182"/>
      <c r="N484" s="182"/>
      <c r="O484" s="182"/>
      <c r="P484" s="182"/>
      <c r="Q484" s="182"/>
      <c r="R484" s="182"/>
      <c r="S484" s="182"/>
      <c r="T484" s="182"/>
      <c r="U484" s="182"/>
      <c r="AA484" s="35"/>
      <c r="AB484" s="35"/>
    </row>
    <row r="485" spans="1:28" x14ac:dyDescent="0.2">
      <c r="A485" s="177"/>
      <c r="B485" s="186"/>
      <c r="C485" s="186"/>
      <c r="D485" s="186"/>
      <c r="E485" s="182"/>
      <c r="F485" s="182"/>
      <c r="G485" s="187"/>
      <c r="H485" s="187"/>
      <c r="I485" s="187"/>
      <c r="J485" s="182"/>
      <c r="K485" s="182"/>
      <c r="L485" s="187"/>
      <c r="M485" s="182"/>
      <c r="N485" s="182"/>
      <c r="O485" s="182"/>
      <c r="P485" s="182"/>
      <c r="Q485" s="182"/>
      <c r="R485" s="182"/>
      <c r="S485" s="182"/>
      <c r="T485" s="182"/>
      <c r="U485" s="182"/>
      <c r="AA485" s="35"/>
      <c r="AB485" s="35"/>
    </row>
    <row r="486" spans="1:28" x14ac:dyDescent="0.2">
      <c r="A486" s="177"/>
      <c r="B486" s="186"/>
      <c r="C486" s="186"/>
      <c r="D486" s="186"/>
      <c r="E486" s="182"/>
      <c r="F486" s="182"/>
      <c r="G486" s="187"/>
      <c r="H486" s="187"/>
      <c r="I486" s="187"/>
      <c r="J486" s="182"/>
      <c r="K486" s="182"/>
      <c r="L486" s="187"/>
      <c r="M486" s="182"/>
      <c r="N486" s="182"/>
      <c r="O486" s="182"/>
      <c r="P486" s="182"/>
      <c r="Q486" s="182"/>
      <c r="R486" s="182"/>
      <c r="S486" s="182"/>
      <c r="T486" s="182"/>
      <c r="U486" s="182"/>
      <c r="AA486" s="35"/>
      <c r="AB486" s="35"/>
    </row>
    <row r="487" spans="1:28" x14ac:dyDescent="0.2">
      <c r="A487" s="177"/>
      <c r="B487" s="186"/>
      <c r="C487" s="186"/>
      <c r="D487" s="186"/>
      <c r="E487" s="182"/>
      <c r="F487" s="182"/>
      <c r="G487" s="187"/>
      <c r="H487" s="187"/>
      <c r="I487" s="187"/>
      <c r="J487" s="182"/>
      <c r="K487" s="182"/>
      <c r="L487" s="187"/>
      <c r="M487" s="182"/>
      <c r="N487" s="182"/>
      <c r="O487" s="182"/>
      <c r="P487" s="182"/>
      <c r="Q487" s="182"/>
      <c r="R487" s="182"/>
      <c r="S487" s="182"/>
      <c r="T487" s="182"/>
      <c r="U487" s="182"/>
      <c r="AA487" s="35"/>
      <c r="AB487" s="35"/>
    </row>
    <row r="488" spans="1:28" x14ac:dyDescent="0.2">
      <c r="A488" s="177"/>
      <c r="B488" s="186"/>
      <c r="C488" s="186"/>
      <c r="D488" s="186"/>
      <c r="E488" s="182"/>
      <c r="F488" s="182"/>
      <c r="G488" s="187"/>
      <c r="H488" s="187"/>
      <c r="I488" s="187"/>
      <c r="J488" s="182"/>
      <c r="K488" s="182"/>
      <c r="L488" s="187"/>
      <c r="M488" s="182"/>
      <c r="N488" s="182"/>
      <c r="O488" s="182"/>
      <c r="P488" s="182"/>
      <c r="Q488" s="182"/>
      <c r="R488" s="182"/>
      <c r="S488" s="182"/>
      <c r="T488" s="182"/>
      <c r="U488" s="182"/>
      <c r="AA488" s="35"/>
      <c r="AB488" s="35"/>
    </row>
    <row r="489" spans="1:28" x14ac:dyDescent="0.2">
      <c r="A489" s="177"/>
      <c r="B489" s="186"/>
      <c r="C489" s="186"/>
      <c r="D489" s="186"/>
      <c r="E489" s="182"/>
      <c r="F489" s="182"/>
      <c r="G489" s="187"/>
      <c r="H489" s="187"/>
      <c r="I489" s="187"/>
      <c r="J489" s="182"/>
      <c r="K489" s="182"/>
      <c r="L489" s="187"/>
      <c r="M489" s="182"/>
      <c r="N489" s="182"/>
      <c r="O489" s="182"/>
      <c r="P489" s="182"/>
      <c r="Q489" s="182"/>
      <c r="R489" s="182"/>
      <c r="S489" s="182"/>
      <c r="T489" s="182"/>
      <c r="U489" s="182"/>
      <c r="AA489" s="35"/>
      <c r="AB489" s="35"/>
    </row>
    <row r="490" spans="1:28" x14ac:dyDescent="0.2">
      <c r="A490" s="177"/>
      <c r="B490" s="186"/>
      <c r="C490" s="186"/>
      <c r="D490" s="186"/>
      <c r="E490" s="182"/>
      <c r="F490" s="182"/>
      <c r="G490" s="187"/>
      <c r="H490" s="187"/>
      <c r="I490" s="187"/>
      <c r="J490" s="182"/>
      <c r="K490" s="182"/>
      <c r="L490" s="187"/>
      <c r="M490" s="182"/>
      <c r="N490" s="182"/>
      <c r="O490" s="182"/>
      <c r="P490" s="182"/>
      <c r="Q490" s="182"/>
      <c r="R490" s="182"/>
      <c r="S490" s="182"/>
      <c r="T490" s="182"/>
      <c r="U490" s="182"/>
      <c r="AA490" s="35"/>
      <c r="AB490" s="35"/>
    </row>
    <row r="491" spans="1:28" x14ac:dyDescent="0.2">
      <c r="A491" s="177"/>
      <c r="B491" s="186"/>
      <c r="C491" s="186"/>
      <c r="D491" s="186"/>
      <c r="E491" s="182"/>
      <c r="F491" s="182"/>
      <c r="G491" s="187"/>
      <c r="H491" s="187"/>
      <c r="I491" s="187"/>
      <c r="J491" s="182"/>
      <c r="K491" s="182"/>
      <c r="L491" s="187"/>
      <c r="M491" s="182"/>
      <c r="N491" s="182"/>
      <c r="O491" s="182"/>
      <c r="P491" s="182"/>
      <c r="Q491" s="182"/>
      <c r="R491" s="182"/>
      <c r="S491" s="182"/>
      <c r="T491" s="182"/>
      <c r="U491" s="182"/>
      <c r="AA491" s="35"/>
      <c r="AB491" s="35"/>
    </row>
    <row r="492" spans="1:28" x14ac:dyDescent="0.2">
      <c r="A492" s="177"/>
      <c r="B492" s="186"/>
      <c r="C492" s="186"/>
      <c r="D492" s="186"/>
      <c r="E492" s="182"/>
      <c r="F492" s="182"/>
      <c r="G492" s="187"/>
      <c r="H492" s="187"/>
      <c r="I492" s="187"/>
      <c r="J492" s="182"/>
      <c r="K492" s="182"/>
      <c r="L492" s="187"/>
      <c r="M492" s="182"/>
      <c r="N492" s="182"/>
      <c r="O492" s="182"/>
      <c r="P492" s="182"/>
      <c r="Q492" s="182"/>
      <c r="R492" s="182"/>
      <c r="S492" s="182"/>
      <c r="T492" s="182"/>
      <c r="U492" s="182"/>
      <c r="AA492" s="35"/>
      <c r="AB492" s="35"/>
    </row>
    <row r="493" spans="1:28" x14ac:dyDescent="0.2">
      <c r="A493" s="177"/>
      <c r="B493" s="186"/>
      <c r="C493" s="186"/>
      <c r="D493" s="186"/>
      <c r="E493" s="182"/>
      <c r="F493" s="182"/>
      <c r="G493" s="187"/>
      <c r="H493" s="187"/>
      <c r="I493" s="187"/>
      <c r="J493" s="182"/>
      <c r="K493" s="182"/>
      <c r="L493" s="187"/>
      <c r="M493" s="182"/>
      <c r="N493" s="182"/>
      <c r="O493" s="182"/>
      <c r="P493" s="182"/>
      <c r="Q493" s="182"/>
      <c r="R493" s="182"/>
      <c r="S493" s="182"/>
      <c r="T493" s="182"/>
      <c r="U493" s="182"/>
      <c r="AA493" s="35"/>
      <c r="AB493" s="35"/>
    </row>
    <row r="494" spans="1:28" x14ac:dyDescent="0.2">
      <c r="A494" s="177"/>
      <c r="B494" s="186"/>
      <c r="C494" s="186"/>
      <c r="D494" s="186"/>
      <c r="E494" s="182"/>
      <c r="F494" s="182"/>
      <c r="G494" s="187"/>
      <c r="H494" s="187"/>
      <c r="I494" s="187"/>
      <c r="J494" s="182"/>
      <c r="K494" s="182"/>
      <c r="L494" s="187"/>
      <c r="M494" s="182"/>
      <c r="N494" s="182"/>
      <c r="O494" s="182"/>
      <c r="P494" s="182"/>
      <c r="Q494" s="182"/>
      <c r="R494" s="182"/>
      <c r="S494" s="182"/>
      <c r="T494" s="182"/>
      <c r="U494" s="182"/>
      <c r="AA494" s="35"/>
      <c r="AB494" s="35"/>
    </row>
    <row r="495" spans="1:28" x14ac:dyDescent="0.2">
      <c r="A495" s="177"/>
      <c r="B495" s="186"/>
      <c r="C495" s="186"/>
      <c r="D495" s="186"/>
      <c r="E495" s="182"/>
      <c r="F495" s="182"/>
      <c r="G495" s="187"/>
      <c r="H495" s="187"/>
      <c r="I495" s="187"/>
      <c r="J495" s="182"/>
      <c r="K495" s="182"/>
      <c r="L495" s="187"/>
      <c r="M495" s="182"/>
      <c r="N495" s="182"/>
      <c r="O495" s="182"/>
      <c r="P495" s="182"/>
      <c r="Q495" s="182"/>
      <c r="R495" s="182"/>
      <c r="S495" s="182"/>
      <c r="T495" s="182"/>
      <c r="U495" s="182"/>
      <c r="AA495" s="35"/>
      <c r="AB495" s="35"/>
    </row>
    <row r="496" spans="1:28" x14ac:dyDescent="0.2">
      <c r="A496" s="177"/>
      <c r="B496" s="186"/>
      <c r="C496" s="186"/>
      <c r="D496" s="186"/>
      <c r="E496" s="182"/>
      <c r="F496" s="182"/>
      <c r="G496" s="187"/>
      <c r="H496" s="187"/>
      <c r="I496" s="187"/>
      <c r="J496" s="182"/>
      <c r="K496" s="182"/>
      <c r="L496" s="187"/>
      <c r="M496" s="182"/>
      <c r="N496" s="182"/>
      <c r="O496" s="182"/>
      <c r="P496" s="182"/>
      <c r="Q496" s="182"/>
      <c r="R496" s="182"/>
      <c r="S496" s="182"/>
      <c r="T496" s="182"/>
      <c r="U496" s="182"/>
      <c r="AA496" s="35"/>
      <c r="AB496" s="35"/>
    </row>
    <row r="497" spans="1:28" x14ac:dyDescent="0.2">
      <c r="A497" s="177"/>
      <c r="B497" s="186"/>
      <c r="C497" s="186"/>
      <c r="D497" s="186"/>
      <c r="E497" s="182"/>
      <c r="F497" s="182"/>
      <c r="G497" s="187"/>
      <c r="H497" s="187"/>
      <c r="I497" s="187"/>
      <c r="J497" s="182"/>
      <c r="K497" s="182"/>
      <c r="L497" s="187"/>
      <c r="M497" s="182"/>
      <c r="N497" s="182"/>
      <c r="O497" s="182"/>
      <c r="P497" s="182"/>
      <c r="Q497" s="182"/>
      <c r="R497" s="182"/>
      <c r="S497" s="182"/>
      <c r="T497" s="182"/>
      <c r="U497" s="182"/>
      <c r="AA497" s="35"/>
      <c r="AB497" s="35"/>
    </row>
    <row r="498" spans="1:28" x14ac:dyDescent="0.2">
      <c r="A498" s="177"/>
      <c r="B498" s="186"/>
      <c r="C498" s="186"/>
      <c r="D498" s="186"/>
      <c r="E498" s="182"/>
      <c r="F498" s="182"/>
      <c r="G498" s="187"/>
      <c r="H498" s="187"/>
      <c r="I498" s="187"/>
      <c r="J498" s="182"/>
      <c r="K498" s="182"/>
      <c r="L498" s="187"/>
      <c r="M498" s="182"/>
      <c r="N498" s="182"/>
      <c r="O498" s="182"/>
      <c r="P498" s="182"/>
      <c r="Q498" s="182"/>
      <c r="R498" s="182"/>
      <c r="S498" s="182"/>
      <c r="T498" s="182"/>
      <c r="U498" s="182"/>
      <c r="AA498" s="35"/>
      <c r="AB498" s="35"/>
    </row>
    <row r="499" spans="1:28" x14ac:dyDescent="0.2">
      <c r="A499" s="177"/>
      <c r="B499" s="186"/>
      <c r="C499" s="186"/>
      <c r="D499" s="186"/>
      <c r="E499" s="182"/>
      <c r="F499" s="182"/>
      <c r="G499" s="187"/>
      <c r="H499" s="187"/>
      <c r="I499" s="187"/>
      <c r="J499" s="182"/>
      <c r="K499" s="182"/>
      <c r="L499" s="187"/>
      <c r="M499" s="182"/>
      <c r="N499" s="182"/>
      <c r="O499" s="182"/>
      <c r="P499" s="182"/>
      <c r="Q499" s="182"/>
      <c r="R499" s="182"/>
      <c r="S499" s="182"/>
      <c r="T499" s="182"/>
      <c r="U499" s="182"/>
      <c r="AA499" s="35"/>
      <c r="AB499" s="35"/>
    </row>
    <row r="500" spans="1:28" x14ac:dyDescent="0.2">
      <c r="A500" s="177"/>
      <c r="B500" s="186"/>
      <c r="C500" s="186"/>
      <c r="D500" s="186"/>
      <c r="E500" s="182"/>
      <c r="F500" s="182"/>
      <c r="G500" s="187"/>
      <c r="H500" s="187"/>
      <c r="I500" s="187"/>
      <c r="J500" s="182"/>
      <c r="K500" s="182"/>
      <c r="L500" s="187"/>
      <c r="M500" s="182"/>
      <c r="N500" s="182"/>
      <c r="O500" s="182"/>
      <c r="P500" s="182"/>
      <c r="Q500" s="182"/>
      <c r="R500" s="182"/>
      <c r="S500" s="182"/>
      <c r="T500" s="182"/>
      <c r="U500" s="182"/>
      <c r="AA500" s="35"/>
      <c r="AB500" s="35"/>
    </row>
    <row r="501" spans="1:28" x14ac:dyDescent="0.2">
      <c r="A501" s="177"/>
      <c r="B501" s="186"/>
      <c r="C501" s="186"/>
      <c r="D501" s="186"/>
      <c r="E501" s="182"/>
      <c r="F501" s="182"/>
      <c r="G501" s="187"/>
      <c r="H501" s="187"/>
      <c r="I501" s="187"/>
      <c r="J501" s="182"/>
      <c r="K501" s="182"/>
      <c r="L501" s="187"/>
      <c r="M501" s="182"/>
      <c r="N501" s="182"/>
      <c r="O501" s="182"/>
      <c r="P501" s="182"/>
      <c r="Q501" s="182"/>
      <c r="R501" s="182"/>
      <c r="S501" s="182"/>
      <c r="T501" s="182"/>
      <c r="U501" s="182"/>
      <c r="AA501" s="35"/>
      <c r="AB501" s="35"/>
    </row>
    <row r="502" spans="1:28" x14ac:dyDescent="0.2">
      <c r="A502" s="177"/>
      <c r="B502" s="186"/>
      <c r="C502" s="186"/>
      <c r="D502" s="186"/>
      <c r="E502" s="182"/>
      <c r="F502" s="182"/>
      <c r="G502" s="187"/>
      <c r="H502" s="187"/>
      <c r="I502" s="187"/>
      <c r="J502" s="182"/>
      <c r="K502" s="182"/>
      <c r="L502" s="187"/>
      <c r="M502" s="182"/>
      <c r="N502" s="182"/>
      <c r="O502" s="182"/>
      <c r="P502" s="182"/>
      <c r="Q502" s="182"/>
      <c r="R502" s="182"/>
      <c r="S502" s="182"/>
      <c r="T502" s="182"/>
      <c r="U502" s="182"/>
      <c r="AA502" s="35"/>
      <c r="AB502" s="35"/>
    </row>
    <row r="503" spans="1:28" x14ac:dyDescent="0.2">
      <c r="A503" s="177"/>
      <c r="B503" s="186"/>
      <c r="C503" s="186"/>
      <c r="D503" s="186"/>
      <c r="E503" s="182"/>
      <c r="F503" s="182"/>
      <c r="G503" s="187"/>
      <c r="H503" s="187"/>
      <c r="I503" s="187"/>
      <c r="J503" s="182"/>
      <c r="K503" s="182"/>
      <c r="L503" s="187"/>
      <c r="M503" s="182"/>
      <c r="N503" s="182"/>
      <c r="O503" s="182"/>
      <c r="P503" s="182"/>
      <c r="Q503" s="182"/>
      <c r="R503" s="182"/>
      <c r="S503" s="182"/>
      <c r="T503" s="182"/>
      <c r="U503" s="182"/>
      <c r="AA503" s="35"/>
      <c r="AB503" s="35"/>
    </row>
    <row r="504" spans="1:28" x14ac:dyDescent="0.2">
      <c r="A504" s="177"/>
      <c r="B504" s="186"/>
      <c r="C504" s="186"/>
      <c r="D504" s="186"/>
      <c r="E504" s="182"/>
      <c r="F504" s="182"/>
      <c r="G504" s="187"/>
      <c r="H504" s="187"/>
      <c r="I504" s="187"/>
      <c r="J504" s="182"/>
      <c r="K504" s="182"/>
      <c r="L504" s="187"/>
      <c r="M504" s="182"/>
      <c r="N504" s="182"/>
      <c r="O504" s="182"/>
      <c r="P504" s="182"/>
      <c r="Q504" s="182"/>
      <c r="R504" s="182"/>
      <c r="S504" s="182"/>
      <c r="T504" s="182"/>
      <c r="U504" s="182"/>
      <c r="AA504" s="35"/>
      <c r="AB504" s="35"/>
    </row>
    <row r="505" spans="1:28" x14ac:dyDescent="0.2">
      <c r="A505" s="177"/>
      <c r="B505" s="186"/>
      <c r="C505" s="186"/>
      <c r="D505" s="186"/>
      <c r="E505" s="182"/>
      <c r="F505" s="182"/>
      <c r="G505" s="187"/>
      <c r="H505" s="187"/>
      <c r="I505" s="187"/>
      <c r="J505" s="182"/>
      <c r="K505" s="182"/>
      <c r="L505" s="187"/>
      <c r="M505" s="182"/>
      <c r="N505" s="182"/>
      <c r="O505" s="182"/>
      <c r="P505" s="182"/>
      <c r="Q505" s="182"/>
      <c r="R505" s="182"/>
      <c r="S505" s="182"/>
      <c r="T505" s="182"/>
      <c r="U505" s="182"/>
      <c r="AA505" s="35"/>
      <c r="AB505" s="35"/>
    </row>
    <row r="506" spans="1:28" x14ac:dyDescent="0.2">
      <c r="A506" s="177"/>
      <c r="B506" s="186"/>
      <c r="C506" s="186"/>
      <c r="D506" s="186"/>
      <c r="E506" s="182"/>
      <c r="F506" s="182"/>
      <c r="G506" s="187"/>
      <c r="H506" s="187"/>
      <c r="I506" s="187"/>
      <c r="J506" s="182"/>
      <c r="K506" s="182"/>
      <c r="L506" s="187"/>
      <c r="M506" s="182"/>
      <c r="N506" s="182"/>
      <c r="O506" s="182"/>
      <c r="P506" s="182"/>
      <c r="Q506" s="182"/>
      <c r="R506" s="182"/>
      <c r="S506" s="182"/>
      <c r="T506" s="182"/>
      <c r="U506" s="182"/>
      <c r="AA506" s="35"/>
      <c r="AB506" s="35"/>
    </row>
    <row r="507" spans="1:28" x14ac:dyDescent="0.2">
      <c r="A507" s="177"/>
      <c r="B507" s="186"/>
      <c r="C507" s="186"/>
      <c r="D507" s="186"/>
      <c r="E507" s="182"/>
      <c r="F507" s="182"/>
      <c r="G507" s="187"/>
      <c r="H507" s="187"/>
      <c r="I507" s="187"/>
      <c r="J507" s="182"/>
      <c r="K507" s="182"/>
      <c r="L507" s="187"/>
      <c r="M507" s="182"/>
      <c r="N507" s="182"/>
      <c r="O507" s="182"/>
      <c r="P507" s="182"/>
      <c r="Q507" s="182"/>
      <c r="R507" s="182"/>
      <c r="S507" s="182"/>
      <c r="T507" s="182"/>
      <c r="U507" s="182"/>
      <c r="AA507" s="35"/>
      <c r="AB507" s="35"/>
    </row>
    <row r="508" spans="1:28" x14ac:dyDescent="0.2">
      <c r="A508" s="177"/>
      <c r="B508" s="186"/>
      <c r="C508" s="186"/>
      <c r="D508" s="186"/>
      <c r="E508" s="182"/>
      <c r="F508" s="182"/>
      <c r="G508" s="187"/>
      <c r="H508" s="187"/>
      <c r="I508" s="187"/>
      <c r="J508" s="182"/>
      <c r="K508" s="182"/>
      <c r="L508" s="187"/>
      <c r="M508" s="182"/>
      <c r="N508" s="182"/>
      <c r="O508" s="182"/>
      <c r="P508" s="182"/>
      <c r="Q508" s="182"/>
      <c r="R508" s="182"/>
      <c r="S508" s="182"/>
      <c r="T508" s="182"/>
      <c r="U508" s="182"/>
      <c r="AA508" s="35"/>
      <c r="AB508" s="35"/>
    </row>
    <row r="509" spans="1:28" x14ac:dyDescent="0.2">
      <c r="A509" s="177"/>
      <c r="B509" s="186"/>
      <c r="C509" s="186"/>
      <c r="D509" s="186"/>
      <c r="E509" s="182"/>
      <c r="F509" s="182"/>
      <c r="G509" s="187"/>
      <c r="H509" s="187"/>
      <c r="I509" s="187"/>
      <c r="J509" s="182"/>
      <c r="K509" s="182"/>
      <c r="L509" s="187"/>
      <c r="M509" s="182"/>
      <c r="N509" s="182"/>
      <c r="O509" s="182"/>
      <c r="P509" s="182"/>
      <c r="Q509" s="182"/>
      <c r="R509" s="182"/>
      <c r="S509" s="182"/>
      <c r="T509" s="182"/>
      <c r="U509" s="182"/>
      <c r="AA509" s="35"/>
      <c r="AB509" s="35"/>
    </row>
    <row r="510" spans="1:28" x14ac:dyDescent="0.2">
      <c r="A510" s="177"/>
      <c r="B510" s="186"/>
      <c r="C510" s="186"/>
      <c r="D510" s="186"/>
      <c r="E510" s="182"/>
      <c r="F510" s="182"/>
      <c r="G510" s="187"/>
      <c r="H510" s="187"/>
      <c r="I510" s="187"/>
      <c r="J510" s="182"/>
      <c r="K510" s="182"/>
      <c r="L510" s="187"/>
      <c r="M510" s="182"/>
      <c r="N510" s="182"/>
      <c r="O510" s="182"/>
      <c r="P510" s="182"/>
      <c r="Q510" s="182"/>
      <c r="R510" s="182"/>
      <c r="S510" s="182"/>
      <c r="T510" s="182"/>
      <c r="U510" s="182"/>
      <c r="AA510" s="35"/>
      <c r="AB510" s="35"/>
    </row>
    <row r="511" spans="1:28" x14ac:dyDescent="0.2">
      <c r="A511" s="177"/>
      <c r="B511" s="186"/>
      <c r="C511" s="186"/>
      <c r="D511" s="186"/>
      <c r="E511" s="182"/>
      <c r="F511" s="182"/>
      <c r="G511" s="187"/>
      <c r="H511" s="187"/>
      <c r="I511" s="187"/>
      <c r="J511" s="182"/>
      <c r="K511" s="182"/>
      <c r="L511" s="187"/>
      <c r="M511" s="182"/>
      <c r="N511" s="182"/>
      <c r="O511" s="182"/>
      <c r="P511" s="182"/>
      <c r="Q511" s="182"/>
      <c r="R511" s="182"/>
      <c r="S511" s="182"/>
      <c r="T511" s="182"/>
      <c r="U511" s="182"/>
      <c r="AA511" s="35"/>
      <c r="AB511" s="35"/>
    </row>
    <row r="512" spans="1:28" x14ac:dyDescent="0.2">
      <c r="A512" s="177"/>
      <c r="B512" s="186"/>
      <c r="C512" s="186"/>
      <c r="D512" s="186"/>
      <c r="E512" s="182"/>
      <c r="F512" s="182"/>
      <c r="G512" s="187"/>
      <c r="H512" s="187"/>
      <c r="I512" s="187"/>
      <c r="J512" s="182"/>
      <c r="K512" s="182"/>
      <c r="L512" s="187"/>
      <c r="M512" s="182"/>
      <c r="N512" s="182"/>
      <c r="O512" s="182"/>
      <c r="P512" s="182"/>
      <c r="Q512" s="182"/>
      <c r="R512" s="182"/>
      <c r="S512" s="182"/>
      <c r="T512" s="182"/>
      <c r="U512" s="182"/>
      <c r="AA512" s="35"/>
      <c r="AB512" s="35"/>
    </row>
    <row r="513" spans="1:28" x14ac:dyDescent="0.2">
      <c r="A513" s="177"/>
      <c r="B513" s="186"/>
      <c r="C513" s="186"/>
      <c r="D513" s="186"/>
      <c r="E513" s="182"/>
      <c r="F513" s="182"/>
      <c r="G513" s="187"/>
      <c r="H513" s="187"/>
      <c r="I513" s="187"/>
      <c r="J513" s="182"/>
      <c r="K513" s="182"/>
      <c r="L513" s="187"/>
      <c r="M513" s="182"/>
      <c r="N513" s="182"/>
      <c r="O513" s="182"/>
      <c r="P513" s="182"/>
      <c r="Q513" s="182"/>
      <c r="R513" s="182"/>
      <c r="S513" s="182"/>
      <c r="T513" s="182"/>
      <c r="U513" s="182"/>
      <c r="AA513" s="35"/>
      <c r="AB513" s="35"/>
    </row>
    <row r="514" spans="1:28" x14ac:dyDescent="0.2">
      <c r="A514" s="177"/>
      <c r="B514" s="186"/>
      <c r="C514" s="186"/>
      <c r="D514" s="186"/>
      <c r="E514" s="182"/>
      <c r="F514" s="182"/>
      <c r="G514" s="187"/>
      <c r="H514" s="187"/>
      <c r="I514" s="187"/>
      <c r="J514" s="182"/>
      <c r="K514" s="182"/>
      <c r="L514" s="187"/>
      <c r="M514" s="182"/>
      <c r="N514" s="182"/>
      <c r="O514" s="182"/>
      <c r="P514" s="182"/>
      <c r="Q514" s="182"/>
      <c r="R514" s="182"/>
      <c r="S514" s="182"/>
      <c r="T514" s="182"/>
      <c r="U514" s="182"/>
      <c r="AA514" s="35"/>
      <c r="AB514" s="35"/>
    </row>
    <row r="515" spans="1:28" x14ac:dyDescent="0.2">
      <c r="A515" s="177"/>
      <c r="B515" s="186"/>
      <c r="C515" s="186"/>
      <c r="D515" s="186"/>
      <c r="E515" s="182"/>
      <c r="F515" s="182"/>
      <c r="G515" s="187"/>
      <c r="H515" s="187"/>
      <c r="I515" s="187"/>
      <c r="J515" s="182"/>
      <c r="K515" s="182"/>
      <c r="L515" s="187"/>
      <c r="M515" s="182"/>
      <c r="N515" s="182"/>
      <c r="O515" s="182"/>
      <c r="P515" s="182"/>
      <c r="Q515" s="182"/>
      <c r="R515" s="182"/>
      <c r="S515" s="182"/>
      <c r="T515" s="182"/>
      <c r="U515" s="182"/>
      <c r="AA515" s="35"/>
      <c r="AB515" s="35"/>
    </row>
    <row r="516" spans="1:28" x14ac:dyDescent="0.2">
      <c r="A516" s="177"/>
      <c r="B516" s="186"/>
      <c r="C516" s="186"/>
      <c r="D516" s="186"/>
      <c r="E516" s="182"/>
      <c r="F516" s="182"/>
      <c r="G516" s="187"/>
      <c r="H516" s="187"/>
      <c r="I516" s="187"/>
      <c r="J516" s="182"/>
      <c r="K516" s="182"/>
      <c r="L516" s="187"/>
      <c r="M516" s="182"/>
      <c r="N516" s="182"/>
      <c r="O516" s="182"/>
      <c r="P516" s="182"/>
      <c r="Q516" s="182"/>
      <c r="R516" s="182"/>
      <c r="S516" s="182"/>
      <c r="T516" s="182"/>
      <c r="U516" s="182"/>
      <c r="AA516" s="35"/>
      <c r="AB516" s="35"/>
    </row>
    <row r="517" spans="1:28" x14ac:dyDescent="0.2">
      <c r="A517" s="177"/>
      <c r="B517" s="186"/>
      <c r="C517" s="186"/>
      <c r="D517" s="186"/>
      <c r="E517" s="182"/>
      <c r="F517" s="182"/>
      <c r="G517" s="187"/>
      <c r="H517" s="187"/>
      <c r="I517" s="187"/>
      <c r="J517" s="182"/>
      <c r="K517" s="182"/>
      <c r="L517" s="187"/>
      <c r="M517" s="182"/>
      <c r="N517" s="182"/>
      <c r="O517" s="182"/>
      <c r="P517" s="182"/>
      <c r="Q517" s="182"/>
      <c r="R517" s="182"/>
      <c r="S517" s="182"/>
      <c r="T517" s="182"/>
      <c r="U517" s="182"/>
      <c r="AA517" s="35"/>
      <c r="AB517" s="35"/>
    </row>
    <row r="518" spans="1:28" x14ac:dyDescent="0.2">
      <c r="A518" s="177"/>
      <c r="B518" s="186"/>
      <c r="C518" s="186"/>
      <c r="D518" s="186"/>
      <c r="E518" s="182"/>
      <c r="F518" s="182"/>
      <c r="G518" s="187"/>
      <c r="H518" s="187"/>
      <c r="I518" s="187"/>
      <c r="J518" s="182"/>
      <c r="K518" s="182"/>
      <c r="L518" s="187"/>
      <c r="M518" s="182"/>
      <c r="N518" s="182"/>
      <c r="O518" s="182"/>
      <c r="P518" s="182"/>
      <c r="Q518" s="182"/>
      <c r="R518" s="182"/>
      <c r="S518" s="182"/>
      <c r="T518" s="182"/>
      <c r="U518" s="182"/>
      <c r="AA518" s="35"/>
      <c r="AB518" s="35"/>
    </row>
    <row r="519" spans="1:28" x14ac:dyDescent="0.2">
      <c r="A519" s="177"/>
      <c r="B519" s="186"/>
      <c r="C519" s="186"/>
      <c r="D519" s="186"/>
      <c r="E519" s="182"/>
      <c r="F519" s="182"/>
      <c r="G519" s="187"/>
      <c r="H519" s="187"/>
      <c r="I519" s="187"/>
      <c r="J519" s="182"/>
      <c r="K519" s="182"/>
      <c r="L519" s="187"/>
      <c r="M519" s="182"/>
      <c r="N519" s="182"/>
      <c r="O519" s="182"/>
      <c r="P519" s="182"/>
      <c r="Q519" s="182"/>
      <c r="R519" s="182"/>
      <c r="S519" s="182"/>
      <c r="T519" s="182"/>
      <c r="U519" s="182"/>
      <c r="AA519" s="35"/>
      <c r="AB519" s="35"/>
    </row>
    <row r="520" spans="1:28" x14ac:dyDescent="0.2">
      <c r="A520" s="177"/>
      <c r="B520" s="186"/>
      <c r="C520" s="186"/>
      <c r="D520" s="186"/>
      <c r="E520" s="182"/>
      <c r="F520" s="182"/>
      <c r="G520" s="187"/>
      <c r="H520" s="187"/>
      <c r="I520" s="187"/>
      <c r="J520" s="182"/>
      <c r="K520" s="182"/>
      <c r="L520" s="187"/>
      <c r="M520" s="182"/>
      <c r="N520" s="182"/>
      <c r="O520" s="182"/>
      <c r="P520" s="182"/>
      <c r="Q520" s="182"/>
      <c r="R520" s="182"/>
      <c r="S520" s="182"/>
      <c r="T520" s="182"/>
      <c r="U520" s="182"/>
      <c r="AA520" s="35"/>
      <c r="AB520" s="35"/>
    </row>
    <row r="521" spans="1:28" x14ac:dyDescent="0.2">
      <c r="A521" s="177"/>
      <c r="B521" s="186"/>
      <c r="C521" s="186"/>
      <c r="D521" s="186"/>
      <c r="E521" s="182"/>
      <c r="F521" s="182"/>
      <c r="G521" s="187"/>
      <c r="H521" s="187"/>
      <c r="I521" s="187"/>
      <c r="J521" s="182"/>
      <c r="K521" s="182"/>
      <c r="L521" s="187"/>
      <c r="M521" s="182"/>
      <c r="N521" s="182"/>
      <c r="O521" s="182"/>
      <c r="P521" s="182"/>
      <c r="Q521" s="182"/>
      <c r="R521" s="182"/>
      <c r="S521" s="182"/>
      <c r="T521" s="182"/>
      <c r="U521" s="182"/>
      <c r="AA521" s="35"/>
      <c r="AB521" s="35"/>
    </row>
    <row r="522" spans="1:28" x14ac:dyDescent="0.2">
      <c r="A522" s="177"/>
      <c r="B522" s="186"/>
      <c r="C522" s="186"/>
      <c r="D522" s="186"/>
      <c r="E522" s="182"/>
      <c r="F522" s="182"/>
      <c r="G522" s="187"/>
      <c r="H522" s="187"/>
      <c r="I522" s="187"/>
      <c r="J522" s="182"/>
      <c r="K522" s="182"/>
      <c r="L522" s="187"/>
      <c r="M522" s="182"/>
      <c r="N522" s="182"/>
      <c r="O522" s="182"/>
      <c r="P522" s="182"/>
      <c r="Q522" s="182"/>
      <c r="R522" s="182"/>
      <c r="S522" s="182"/>
      <c r="T522" s="182"/>
      <c r="U522" s="182"/>
      <c r="AA522" s="35"/>
      <c r="AB522" s="35"/>
    </row>
    <row r="523" spans="1:28" x14ac:dyDescent="0.2">
      <c r="A523" s="177"/>
      <c r="B523" s="186"/>
      <c r="C523" s="186"/>
      <c r="D523" s="186"/>
      <c r="E523" s="182"/>
      <c r="F523" s="182"/>
      <c r="G523" s="187"/>
      <c r="H523" s="187"/>
      <c r="I523" s="187"/>
      <c r="J523" s="182"/>
      <c r="K523" s="182"/>
      <c r="L523" s="187"/>
      <c r="M523" s="182"/>
      <c r="N523" s="182"/>
      <c r="O523" s="182"/>
      <c r="P523" s="182"/>
      <c r="Q523" s="182"/>
      <c r="R523" s="182"/>
      <c r="S523" s="182"/>
      <c r="T523" s="182"/>
      <c r="U523" s="182"/>
      <c r="AA523" s="35"/>
      <c r="AB523" s="35"/>
    </row>
    <row r="524" spans="1:28" x14ac:dyDescent="0.2">
      <c r="A524" s="177"/>
      <c r="B524" s="186"/>
      <c r="C524" s="186"/>
      <c r="D524" s="186"/>
      <c r="E524" s="182"/>
      <c r="F524" s="182"/>
      <c r="G524" s="187"/>
      <c r="H524" s="187"/>
      <c r="I524" s="187"/>
      <c r="J524" s="182"/>
      <c r="K524" s="182"/>
      <c r="L524" s="187"/>
      <c r="M524" s="182"/>
      <c r="N524" s="182"/>
      <c r="O524" s="182"/>
      <c r="P524" s="182"/>
      <c r="Q524" s="182"/>
      <c r="R524" s="182"/>
      <c r="S524" s="182"/>
      <c r="T524" s="182"/>
      <c r="U524" s="182"/>
      <c r="AA524" s="35"/>
      <c r="AB524" s="35"/>
    </row>
    <row r="525" spans="1:28" x14ac:dyDescent="0.2">
      <c r="A525" s="177"/>
      <c r="B525" s="186"/>
      <c r="C525" s="186"/>
      <c r="D525" s="186"/>
      <c r="E525" s="182"/>
      <c r="F525" s="182"/>
      <c r="G525" s="187"/>
      <c r="H525" s="187"/>
      <c r="I525" s="187"/>
      <c r="J525" s="182"/>
      <c r="K525" s="182"/>
      <c r="L525" s="187"/>
      <c r="M525" s="182"/>
      <c r="N525" s="182"/>
      <c r="O525" s="182"/>
      <c r="P525" s="182"/>
      <c r="Q525" s="182"/>
      <c r="R525" s="182"/>
      <c r="S525" s="182"/>
      <c r="T525" s="182"/>
      <c r="U525" s="182"/>
      <c r="AA525" s="35"/>
      <c r="AB525" s="35"/>
    </row>
    <row r="526" spans="1:28" x14ac:dyDescent="0.2">
      <c r="A526" s="177"/>
      <c r="B526" s="186"/>
      <c r="C526" s="186"/>
      <c r="D526" s="186"/>
      <c r="E526" s="182"/>
      <c r="F526" s="182"/>
      <c r="G526" s="187"/>
      <c r="H526" s="187"/>
      <c r="I526" s="187"/>
      <c r="J526" s="182"/>
      <c r="K526" s="182"/>
      <c r="L526" s="187"/>
      <c r="M526" s="182"/>
      <c r="N526" s="182"/>
      <c r="O526" s="182"/>
      <c r="P526" s="182"/>
      <c r="Q526" s="182"/>
      <c r="R526" s="182"/>
      <c r="S526" s="182"/>
      <c r="T526" s="182"/>
      <c r="U526" s="182"/>
      <c r="AA526" s="35"/>
      <c r="AB526" s="35"/>
    </row>
    <row r="527" spans="1:28" x14ac:dyDescent="0.2">
      <c r="A527" s="177"/>
      <c r="B527" s="186"/>
      <c r="C527" s="186"/>
      <c r="D527" s="186"/>
      <c r="E527" s="182"/>
      <c r="F527" s="182"/>
      <c r="G527" s="187"/>
      <c r="H527" s="187"/>
      <c r="I527" s="187"/>
      <c r="J527" s="182"/>
      <c r="K527" s="182"/>
      <c r="L527" s="187"/>
      <c r="M527" s="182"/>
      <c r="N527" s="182"/>
      <c r="O527" s="182"/>
      <c r="P527" s="182"/>
      <c r="Q527" s="182"/>
      <c r="R527" s="182"/>
      <c r="S527" s="182"/>
      <c r="T527" s="182"/>
      <c r="U527" s="182"/>
      <c r="AA527" s="35"/>
      <c r="AB527" s="35"/>
    </row>
    <row r="528" spans="1:28" x14ac:dyDescent="0.2">
      <c r="A528" s="177"/>
      <c r="B528" s="186"/>
      <c r="C528" s="186"/>
      <c r="D528" s="186"/>
      <c r="E528" s="182"/>
      <c r="F528" s="182"/>
      <c r="G528" s="187"/>
      <c r="H528" s="187"/>
      <c r="I528" s="187"/>
      <c r="J528" s="182"/>
      <c r="K528" s="182"/>
      <c r="L528" s="187"/>
      <c r="M528" s="182"/>
      <c r="N528" s="182"/>
      <c r="O528" s="182"/>
      <c r="P528" s="182"/>
      <c r="Q528" s="182"/>
      <c r="R528" s="182"/>
      <c r="S528" s="182"/>
      <c r="T528" s="182"/>
      <c r="U528" s="182"/>
      <c r="AA528" s="35"/>
      <c r="AB528" s="35"/>
    </row>
    <row r="529" spans="1:28" x14ac:dyDescent="0.2">
      <c r="A529" s="177"/>
      <c r="B529" s="186"/>
      <c r="C529" s="186"/>
      <c r="D529" s="186"/>
      <c r="E529" s="182"/>
      <c r="F529" s="182"/>
      <c r="G529" s="187"/>
      <c r="H529" s="187"/>
      <c r="I529" s="187"/>
      <c r="J529" s="182"/>
      <c r="K529" s="182"/>
      <c r="L529" s="187"/>
      <c r="M529" s="182"/>
      <c r="N529" s="182"/>
      <c r="O529" s="182"/>
      <c r="P529" s="182"/>
      <c r="Q529" s="182"/>
      <c r="R529" s="182"/>
      <c r="S529" s="182"/>
      <c r="T529" s="182"/>
      <c r="U529" s="182"/>
      <c r="AA529" s="35"/>
      <c r="AB529" s="35"/>
    </row>
    <row r="530" spans="1:28" x14ac:dyDescent="0.2">
      <c r="A530" s="177"/>
      <c r="B530" s="186"/>
      <c r="C530" s="186"/>
      <c r="D530" s="186"/>
      <c r="E530" s="182"/>
      <c r="F530" s="182"/>
      <c r="G530" s="187"/>
      <c r="H530" s="187"/>
      <c r="I530" s="187"/>
      <c r="J530" s="182"/>
      <c r="K530" s="182"/>
      <c r="L530" s="187"/>
      <c r="M530" s="182"/>
      <c r="N530" s="182"/>
      <c r="O530" s="182"/>
      <c r="P530" s="182"/>
      <c r="Q530" s="182"/>
      <c r="R530" s="182"/>
      <c r="S530" s="182"/>
      <c r="T530" s="182"/>
      <c r="U530" s="182"/>
      <c r="AA530" s="35"/>
      <c r="AB530" s="35"/>
    </row>
    <row r="531" spans="1:28" x14ac:dyDescent="0.2">
      <c r="A531" s="177"/>
      <c r="B531" s="186"/>
      <c r="C531" s="186"/>
      <c r="D531" s="186"/>
      <c r="E531" s="182"/>
      <c r="F531" s="182"/>
      <c r="G531" s="187"/>
      <c r="H531" s="187"/>
      <c r="I531" s="187"/>
      <c r="J531" s="182"/>
      <c r="K531" s="182"/>
      <c r="L531" s="187"/>
      <c r="M531" s="182"/>
      <c r="N531" s="182"/>
      <c r="O531" s="182"/>
      <c r="P531" s="182"/>
      <c r="Q531" s="182"/>
      <c r="R531" s="182"/>
      <c r="S531" s="182"/>
      <c r="T531" s="182"/>
      <c r="U531" s="182"/>
      <c r="AA531" s="35"/>
      <c r="AB531" s="35"/>
    </row>
    <row r="532" spans="1:28" x14ac:dyDescent="0.2">
      <c r="A532" s="177"/>
      <c r="B532" s="186"/>
      <c r="C532" s="186"/>
      <c r="D532" s="186"/>
      <c r="E532" s="182"/>
      <c r="F532" s="182"/>
      <c r="G532" s="187"/>
      <c r="H532" s="187"/>
      <c r="I532" s="187"/>
      <c r="J532" s="182"/>
      <c r="K532" s="182"/>
      <c r="L532" s="187"/>
      <c r="M532" s="182"/>
      <c r="N532" s="182"/>
      <c r="O532" s="182"/>
      <c r="P532" s="182"/>
      <c r="Q532" s="182"/>
      <c r="R532" s="182"/>
      <c r="S532" s="182"/>
      <c r="T532" s="182"/>
      <c r="U532" s="182"/>
      <c r="AA532" s="35"/>
      <c r="AB532" s="35"/>
    </row>
    <row r="533" spans="1:28" x14ac:dyDescent="0.2">
      <c r="A533" s="177"/>
      <c r="B533" s="186"/>
      <c r="C533" s="186"/>
      <c r="D533" s="186"/>
      <c r="E533" s="182"/>
      <c r="F533" s="182"/>
      <c r="G533" s="187"/>
      <c r="H533" s="187"/>
      <c r="I533" s="187"/>
      <c r="J533" s="182"/>
      <c r="K533" s="182"/>
      <c r="L533" s="187"/>
      <c r="M533" s="182"/>
      <c r="N533" s="182"/>
      <c r="O533" s="182"/>
      <c r="P533" s="182"/>
      <c r="Q533" s="182"/>
      <c r="R533" s="182"/>
      <c r="S533" s="182"/>
      <c r="T533" s="182"/>
      <c r="U533" s="182"/>
      <c r="AA533" s="35"/>
      <c r="AB533" s="35"/>
    </row>
    <row r="534" spans="1:28" x14ac:dyDescent="0.2">
      <c r="A534" s="177"/>
      <c r="B534" s="186"/>
      <c r="C534" s="186"/>
      <c r="D534" s="186"/>
      <c r="E534" s="182"/>
      <c r="F534" s="182"/>
      <c r="G534" s="187"/>
      <c r="H534" s="187"/>
      <c r="I534" s="187"/>
      <c r="J534" s="182"/>
      <c r="K534" s="182"/>
      <c r="L534" s="187"/>
      <c r="M534" s="182"/>
      <c r="N534" s="182"/>
      <c r="O534" s="182"/>
      <c r="P534" s="182"/>
      <c r="Q534" s="182"/>
      <c r="R534" s="182"/>
      <c r="S534" s="182"/>
      <c r="T534" s="182"/>
      <c r="U534" s="182"/>
      <c r="AA534" s="35"/>
      <c r="AB534" s="35"/>
    </row>
    <row r="535" spans="1:28" x14ac:dyDescent="0.2">
      <c r="A535" s="177"/>
      <c r="B535" s="186"/>
      <c r="C535" s="186"/>
      <c r="D535" s="186"/>
      <c r="E535" s="182"/>
      <c r="F535" s="182"/>
      <c r="G535" s="187"/>
      <c r="H535" s="187"/>
      <c r="I535" s="187"/>
      <c r="J535" s="182"/>
      <c r="K535" s="182"/>
      <c r="L535" s="187"/>
      <c r="M535" s="182"/>
      <c r="N535" s="182"/>
      <c r="O535" s="182"/>
      <c r="P535" s="182"/>
      <c r="Q535" s="182"/>
      <c r="R535" s="182"/>
      <c r="S535" s="182"/>
      <c r="T535" s="182"/>
      <c r="U535" s="182"/>
      <c r="AA535" s="35"/>
      <c r="AB535" s="35"/>
    </row>
    <row r="536" spans="1:28" x14ac:dyDescent="0.2">
      <c r="A536" s="177"/>
      <c r="B536" s="186"/>
      <c r="C536" s="186"/>
      <c r="D536" s="186"/>
      <c r="E536" s="182"/>
      <c r="F536" s="182"/>
      <c r="G536" s="187"/>
      <c r="H536" s="187"/>
      <c r="I536" s="187"/>
      <c r="J536" s="182"/>
      <c r="K536" s="182"/>
      <c r="L536" s="187"/>
      <c r="M536" s="182"/>
      <c r="N536" s="182"/>
      <c r="O536" s="182"/>
      <c r="P536" s="182"/>
      <c r="Q536" s="182"/>
      <c r="R536" s="182"/>
      <c r="S536" s="182"/>
      <c r="T536" s="182"/>
      <c r="U536" s="182"/>
      <c r="AA536" s="35"/>
      <c r="AB536" s="35"/>
    </row>
    <row r="537" spans="1:28" x14ac:dyDescent="0.2">
      <c r="A537" s="177"/>
      <c r="B537" s="186"/>
      <c r="C537" s="186"/>
      <c r="D537" s="186"/>
      <c r="E537" s="182"/>
      <c r="F537" s="182"/>
      <c r="G537" s="187"/>
      <c r="H537" s="187"/>
      <c r="I537" s="187"/>
      <c r="J537" s="182"/>
      <c r="K537" s="182"/>
      <c r="L537" s="187"/>
      <c r="M537" s="182"/>
      <c r="N537" s="182"/>
      <c r="O537" s="182"/>
      <c r="P537" s="182"/>
      <c r="Q537" s="182"/>
      <c r="R537" s="182"/>
      <c r="S537" s="182"/>
      <c r="T537" s="182"/>
      <c r="U537" s="182"/>
      <c r="AA537" s="35"/>
      <c r="AB537" s="35"/>
    </row>
    <row r="538" spans="1:28" x14ac:dyDescent="0.2">
      <c r="A538" s="177"/>
      <c r="B538" s="186"/>
      <c r="C538" s="186"/>
      <c r="D538" s="186"/>
      <c r="E538" s="182"/>
      <c r="F538" s="182"/>
      <c r="G538" s="187"/>
      <c r="H538" s="187"/>
      <c r="I538" s="187"/>
      <c r="J538" s="182"/>
      <c r="K538" s="182"/>
      <c r="L538" s="187"/>
      <c r="M538" s="182"/>
      <c r="N538" s="182"/>
      <c r="O538" s="182"/>
      <c r="P538" s="182"/>
      <c r="Q538" s="182"/>
      <c r="R538" s="182"/>
      <c r="S538" s="182"/>
      <c r="T538" s="182"/>
      <c r="U538" s="182"/>
      <c r="AA538" s="35"/>
      <c r="AB538" s="35"/>
    </row>
    <row r="539" spans="1:28" x14ac:dyDescent="0.2">
      <c r="A539" s="177"/>
      <c r="B539" s="186"/>
      <c r="C539" s="186"/>
      <c r="D539" s="186"/>
      <c r="E539" s="182"/>
      <c r="F539" s="182"/>
      <c r="G539" s="187"/>
      <c r="H539" s="187"/>
      <c r="I539" s="187"/>
      <c r="J539" s="182"/>
      <c r="K539" s="182"/>
      <c r="L539" s="187"/>
      <c r="M539" s="182"/>
      <c r="N539" s="182"/>
      <c r="O539" s="182"/>
      <c r="P539" s="182"/>
      <c r="Q539" s="182"/>
      <c r="R539" s="182"/>
      <c r="S539" s="182"/>
      <c r="T539" s="182"/>
      <c r="U539" s="182"/>
      <c r="AA539" s="35"/>
      <c r="AB539" s="35"/>
    </row>
    <row r="540" spans="1:28" x14ac:dyDescent="0.2">
      <c r="A540" s="177"/>
      <c r="B540" s="186"/>
      <c r="C540" s="186"/>
      <c r="D540" s="186"/>
      <c r="E540" s="182"/>
      <c r="F540" s="182"/>
      <c r="G540" s="187"/>
      <c r="H540" s="187"/>
      <c r="I540" s="187"/>
      <c r="J540" s="182"/>
      <c r="K540" s="182"/>
      <c r="L540" s="187"/>
      <c r="M540" s="182"/>
      <c r="N540" s="182"/>
      <c r="O540" s="182"/>
      <c r="P540" s="182"/>
      <c r="Q540" s="182"/>
      <c r="R540" s="182"/>
      <c r="S540" s="182"/>
      <c r="T540" s="182"/>
      <c r="U540" s="182"/>
      <c r="AA540" s="35"/>
      <c r="AB540" s="35"/>
    </row>
    <row r="541" spans="1:28" x14ac:dyDescent="0.2">
      <c r="A541" s="177"/>
      <c r="B541" s="186"/>
      <c r="C541" s="186"/>
      <c r="D541" s="186"/>
      <c r="E541" s="182"/>
      <c r="F541" s="182"/>
      <c r="G541" s="187"/>
      <c r="H541" s="187"/>
      <c r="I541" s="187"/>
      <c r="J541" s="182"/>
      <c r="K541" s="182"/>
      <c r="L541" s="187"/>
      <c r="M541" s="182"/>
      <c r="N541" s="182"/>
      <c r="O541" s="182"/>
      <c r="P541" s="182"/>
      <c r="Q541" s="182"/>
      <c r="R541" s="182"/>
      <c r="S541" s="182"/>
      <c r="T541" s="182"/>
      <c r="U541" s="182"/>
      <c r="AA541" s="35"/>
      <c r="AB541" s="35"/>
    </row>
    <row r="542" spans="1:28" x14ac:dyDescent="0.2">
      <c r="A542" s="177"/>
      <c r="B542" s="186"/>
      <c r="C542" s="186"/>
      <c r="D542" s="186"/>
      <c r="E542" s="182"/>
      <c r="F542" s="182"/>
      <c r="G542" s="187"/>
      <c r="H542" s="187"/>
      <c r="I542" s="187"/>
      <c r="J542" s="182"/>
      <c r="K542" s="182"/>
      <c r="L542" s="187"/>
      <c r="M542" s="182"/>
      <c r="N542" s="182"/>
      <c r="O542" s="182"/>
      <c r="P542" s="182"/>
      <c r="Q542" s="182"/>
      <c r="R542" s="182"/>
      <c r="S542" s="182"/>
      <c r="T542" s="182"/>
      <c r="U542" s="182"/>
      <c r="AA542" s="35"/>
      <c r="AB542" s="35"/>
    </row>
    <row r="543" spans="1:28" x14ac:dyDescent="0.2">
      <c r="A543" s="177"/>
      <c r="B543" s="186"/>
      <c r="C543" s="186"/>
      <c r="D543" s="186"/>
      <c r="E543" s="182"/>
      <c r="F543" s="182"/>
      <c r="G543" s="187"/>
      <c r="H543" s="187"/>
      <c r="I543" s="187"/>
      <c r="J543" s="182"/>
      <c r="K543" s="182"/>
      <c r="L543" s="187"/>
      <c r="M543" s="182"/>
      <c r="N543" s="182"/>
      <c r="O543" s="182"/>
      <c r="P543" s="182"/>
      <c r="Q543" s="182"/>
      <c r="R543" s="182"/>
      <c r="S543" s="182"/>
      <c r="T543" s="182"/>
      <c r="U543" s="182"/>
      <c r="AA543" s="35"/>
      <c r="AB543" s="35"/>
    </row>
    <row r="544" spans="1:28" x14ac:dyDescent="0.2">
      <c r="A544" s="177"/>
      <c r="B544" s="186"/>
      <c r="C544" s="186"/>
      <c r="D544" s="186"/>
      <c r="E544" s="182"/>
      <c r="F544" s="182"/>
      <c r="G544" s="187"/>
      <c r="H544" s="187"/>
      <c r="I544" s="187"/>
      <c r="J544" s="182"/>
      <c r="K544" s="182"/>
      <c r="L544" s="187"/>
      <c r="M544" s="182"/>
      <c r="N544" s="182"/>
      <c r="O544" s="182"/>
      <c r="P544" s="182"/>
      <c r="Q544" s="182"/>
      <c r="R544" s="182"/>
      <c r="S544" s="182"/>
      <c r="T544" s="182"/>
      <c r="U544" s="182"/>
      <c r="AA544" s="35"/>
      <c r="AB544" s="35"/>
    </row>
    <row r="545" spans="1:28" x14ac:dyDescent="0.2">
      <c r="A545" s="177"/>
      <c r="B545" s="186"/>
      <c r="C545" s="186"/>
      <c r="D545" s="186"/>
      <c r="E545" s="182"/>
      <c r="F545" s="182"/>
      <c r="G545" s="187"/>
      <c r="H545" s="187"/>
      <c r="I545" s="187"/>
      <c r="J545" s="182"/>
      <c r="K545" s="182"/>
      <c r="L545" s="187"/>
      <c r="M545" s="182"/>
      <c r="N545" s="182"/>
      <c r="O545" s="182"/>
      <c r="P545" s="182"/>
      <c r="Q545" s="182"/>
      <c r="R545" s="182"/>
      <c r="S545" s="182"/>
      <c r="T545" s="182"/>
      <c r="U545" s="182"/>
      <c r="AA545" s="35"/>
      <c r="AB545" s="35"/>
    </row>
    <row r="546" spans="1:28" x14ac:dyDescent="0.2">
      <c r="A546" s="177"/>
      <c r="B546" s="186"/>
      <c r="C546" s="186"/>
      <c r="D546" s="186"/>
      <c r="E546" s="182"/>
      <c r="F546" s="182"/>
      <c r="G546" s="187"/>
      <c r="H546" s="187"/>
      <c r="I546" s="187"/>
      <c r="J546" s="182"/>
      <c r="K546" s="182"/>
      <c r="L546" s="187"/>
      <c r="M546" s="182"/>
      <c r="N546" s="182"/>
      <c r="O546" s="182"/>
      <c r="P546" s="182"/>
      <c r="Q546" s="182"/>
      <c r="R546" s="182"/>
      <c r="S546" s="182"/>
      <c r="T546" s="182"/>
      <c r="U546" s="182"/>
      <c r="AA546" s="35"/>
      <c r="AB546" s="35"/>
    </row>
    <row r="547" spans="1:28" x14ac:dyDescent="0.2">
      <c r="A547" s="177"/>
      <c r="B547" s="186"/>
      <c r="C547" s="186"/>
      <c r="D547" s="186"/>
      <c r="E547" s="182"/>
      <c r="F547" s="182"/>
      <c r="G547" s="187"/>
      <c r="H547" s="187"/>
      <c r="I547" s="187"/>
      <c r="J547" s="182"/>
      <c r="K547" s="182"/>
      <c r="L547" s="187"/>
      <c r="M547" s="182"/>
      <c r="N547" s="182"/>
      <c r="O547" s="182"/>
      <c r="P547" s="182"/>
      <c r="Q547" s="182"/>
      <c r="R547" s="182"/>
      <c r="S547" s="182"/>
      <c r="T547" s="182"/>
      <c r="U547" s="182"/>
      <c r="AA547" s="35"/>
      <c r="AB547" s="35"/>
    </row>
    <row r="548" spans="1:28" x14ac:dyDescent="0.2">
      <c r="A548" s="177"/>
      <c r="B548" s="186"/>
      <c r="C548" s="186"/>
      <c r="D548" s="186"/>
      <c r="E548" s="182"/>
      <c r="F548" s="182"/>
      <c r="G548" s="187"/>
      <c r="H548" s="187"/>
      <c r="I548" s="187"/>
      <c r="J548" s="182"/>
      <c r="K548" s="182"/>
      <c r="L548" s="187"/>
      <c r="M548" s="182"/>
      <c r="N548" s="182"/>
      <c r="O548" s="182"/>
      <c r="P548" s="182"/>
      <c r="Q548" s="182"/>
      <c r="R548" s="182"/>
      <c r="S548" s="182"/>
      <c r="T548" s="182"/>
      <c r="U548" s="182"/>
      <c r="AA548" s="35"/>
      <c r="AB548" s="35"/>
    </row>
    <row r="549" spans="1:28" x14ac:dyDescent="0.2">
      <c r="A549" s="177"/>
      <c r="B549" s="186"/>
      <c r="C549" s="186"/>
      <c r="D549" s="186"/>
      <c r="E549" s="182"/>
      <c r="F549" s="182"/>
      <c r="G549" s="187"/>
      <c r="H549" s="187"/>
      <c r="I549" s="187"/>
      <c r="J549" s="182"/>
      <c r="K549" s="182"/>
      <c r="L549" s="187"/>
      <c r="M549" s="182"/>
      <c r="N549" s="182"/>
      <c r="O549" s="182"/>
      <c r="P549" s="182"/>
      <c r="Q549" s="182"/>
      <c r="R549" s="182"/>
      <c r="S549" s="182"/>
      <c r="T549" s="182"/>
      <c r="U549" s="182"/>
      <c r="AA549" s="35"/>
      <c r="AB549" s="35"/>
    </row>
    <row r="550" spans="1:28" x14ac:dyDescent="0.2">
      <c r="A550" s="177"/>
      <c r="B550" s="186"/>
      <c r="C550" s="186"/>
      <c r="D550" s="186"/>
      <c r="E550" s="182"/>
      <c r="F550" s="182"/>
      <c r="G550" s="187"/>
      <c r="H550" s="187"/>
      <c r="I550" s="187"/>
      <c r="J550" s="182"/>
      <c r="K550" s="182"/>
      <c r="L550" s="187"/>
      <c r="M550" s="182"/>
      <c r="N550" s="182"/>
      <c r="O550" s="182"/>
      <c r="P550" s="182"/>
      <c r="Q550" s="182"/>
      <c r="R550" s="182"/>
      <c r="S550" s="182"/>
      <c r="T550" s="182"/>
      <c r="U550" s="182"/>
      <c r="AA550" s="35"/>
      <c r="AB550" s="35"/>
    </row>
    <row r="551" spans="1:28" x14ac:dyDescent="0.2">
      <c r="A551" s="177"/>
      <c r="B551" s="186"/>
      <c r="C551" s="186"/>
      <c r="D551" s="186"/>
      <c r="E551" s="182"/>
      <c r="F551" s="182"/>
      <c r="G551" s="187"/>
      <c r="H551" s="187"/>
      <c r="I551" s="187"/>
      <c r="J551" s="182"/>
      <c r="K551" s="182"/>
      <c r="L551" s="187"/>
      <c r="M551" s="182"/>
      <c r="N551" s="182"/>
      <c r="O551" s="182"/>
      <c r="P551" s="182"/>
      <c r="Q551" s="182"/>
      <c r="R551" s="182"/>
      <c r="S551" s="182"/>
      <c r="T551" s="182"/>
      <c r="U551" s="182"/>
      <c r="AA551" s="35"/>
      <c r="AB551" s="35"/>
    </row>
    <row r="552" spans="1:28" x14ac:dyDescent="0.2">
      <c r="A552" s="177"/>
      <c r="B552" s="186"/>
      <c r="C552" s="186"/>
      <c r="D552" s="186"/>
      <c r="E552" s="182"/>
      <c r="F552" s="182"/>
      <c r="G552" s="187"/>
      <c r="H552" s="187"/>
      <c r="I552" s="187"/>
      <c r="J552" s="182"/>
      <c r="K552" s="182"/>
      <c r="L552" s="187"/>
      <c r="M552" s="182"/>
      <c r="N552" s="182"/>
      <c r="O552" s="182"/>
      <c r="P552" s="182"/>
      <c r="Q552" s="182"/>
      <c r="R552" s="182"/>
      <c r="S552" s="182"/>
      <c r="T552" s="182"/>
      <c r="U552" s="182"/>
      <c r="AA552" s="35"/>
      <c r="AB552" s="35"/>
    </row>
    <row r="553" spans="1:28" x14ac:dyDescent="0.2">
      <c r="A553" s="177"/>
      <c r="B553" s="186"/>
      <c r="C553" s="186"/>
      <c r="D553" s="186"/>
      <c r="E553" s="182"/>
      <c r="F553" s="182"/>
      <c r="G553" s="187"/>
      <c r="H553" s="187"/>
      <c r="I553" s="187"/>
      <c r="J553" s="182"/>
      <c r="K553" s="182"/>
      <c r="L553" s="187"/>
      <c r="M553" s="182"/>
      <c r="N553" s="182"/>
      <c r="O553" s="182"/>
      <c r="P553" s="182"/>
      <c r="Q553" s="182"/>
      <c r="R553" s="182"/>
      <c r="S553" s="182"/>
      <c r="T553" s="182"/>
      <c r="U553" s="182"/>
      <c r="AA553" s="35"/>
      <c r="AB553" s="35"/>
    </row>
    <row r="554" spans="1:28" x14ac:dyDescent="0.2">
      <c r="A554" s="177"/>
      <c r="B554" s="186"/>
      <c r="C554" s="186"/>
      <c r="D554" s="186"/>
      <c r="E554" s="182"/>
      <c r="F554" s="182"/>
      <c r="G554" s="187"/>
      <c r="H554" s="187"/>
      <c r="I554" s="187"/>
      <c r="J554" s="182"/>
      <c r="K554" s="182"/>
      <c r="L554" s="187"/>
      <c r="M554" s="182"/>
      <c r="N554" s="182"/>
      <c r="O554" s="182"/>
      <c r="P554" s="182"/>
      <c r="Q554" s="182"/>
      <c r="R554" s="182"/>
      <c r="S554" s="182"/>
      <c r="T554" s="182"/>
      <c r="U554" s="182"/>
      <c r="AA554" s="35"/>
      <c r="AB554" s="35"/>
    </row>
    <row r="555" spans="1:28" x14ac:dyDescent="0.2">
      <c r="A555" s="177"/>
      <c r="B555" s="186"/>
      <c r="C555" s="186"/>
      <c r="D555" s="186"/>
      <c r="E555" s="182"/>
      <c r="F555" s="182"/>
      <c r="G555" s="187"/>
      <c r="H555" s="187"/>
      <c r="I555" s="187"/>
      <c r="J555" s="182"/>
      <c r="K555" s="182"/>
      <c r="L555" s="187"/>
      <c r="M555" s="182"/>
      <c r="N555" s="182"/>
      <c r="O555" s="182"/>
      <c r="P555" s="182"/>
      <c r="Q555" s="182"/>
      <c r="R555" s="182"/>
      <c r="S555" s="182"/>
      <c r="T555" s="182"/>
      <c r="U555" s="182"/>
      <c r="AA555" s="35"/>
      <c r="AB555" s="35"/>
    </row>
    <row r="556" spans="1:28" x14ac:dyDescent="0.2">
      <c r="A556" s="177"/>
      <c r="B556" s="186"/>
      <c r="C556" s="186"/>
      <c r="D556" s="186"/>
      <c r="E556" s="182"/>
      <c r="F556" s="182"/>
      <c r="G556" s="187"/>
      <c r="H556" s="187"/>
      <c r="I556" s="187"/>
      <c r="J556" s="182"/>
      <c r="K556" s="182"/>
      <c r="L556" s="187"/>
      <c r="M556" s="182"/>
      <c r="N556" s="182"/>
      <c r="O556" s="182"/>
      <c r="P556" s="182"/>
      <c r="Q556" s="182"/>
      <c r="R556" s="182"/>
      <c r="S556" s="182"/>
      <c r="T556" s="182"/>
      <c r="U556" s="182"/>
      <c r="AA556" s="35"/>
      <c r="AB556" s="35"/>
    </row>
    <row r="557" spans="1:28" x14ac:dyDescent="0.2">
      <c r="A557" s="177"/>
      <c r="B557" s="186"/>
      <c r="C557" s="186"/>
      <c r="D557" s="186"/>
      <c r="E557" s="182"/>
      <c r="F557" s="182"/>
      <c r="G557" s="187"/>
      <c r="H557" s="187"/>
      <c r="I557" s="187"/>
      <c r="J557" s="182"/>
      <c r="K557" s="182"/>
      <c r="L557" s="187"/>
      <c r="M557" s="182"/>
      <c r="N557" s="182"/>
      <c r="O557" s="182"/>
      <c r="P557" s="182"/>
      <c r="Q557" s="182"/>
      <c r="R557" s="182"/>
      <c r="S557" s="182"/>
      <c r="T557" s="182"/>
      <c r="U557" s="182"/>
      <c r="AA557" s="35"/>
      <c r="AB557" s="35"/>
    </row>
    <row r="558" spans="1:28" x14ac:dyDescent="0.2">
      <c r="A558" s="177"/>
      <c r="B558" s="186"/>
      <c r="C558" s="186"/>
      <c r="D558" s="186"/>
      <c r="E558" s="182"/>
      <c r="F558" s="182"/>
      <c r="G558" s="187"/>
      <c r="H558" s="187"/>
      <c r="I558" s="187"/>
      <c r="J558" s="182"/>
      <c r="K558" s="182"/>
      <c r="L558" s="187"/>
      <c r="M558" s="182"/>
      <c r="N558" s="182"/>
      <c r="O558" s="182"/>
      <c r="P558" s="182"/>
      <c r="Q558" s="182"/>
      <c r="R558" s="182"/>
      <c r="S558" s="182"/>
      <c r="T558" s="182"/>
      <c r="U558" s="182"/>
      <c r="AA558" s="35"/>
      <c r="AB558" s="35"/>
    </row>
    <row r="559" spans="1:28" x14ac:dyDescent="0.2">
      <c r="A559" s="177"/>
      <c r="B559" s="186"/>
      <c r="C559" s="186"/>
      <c r="D559" s="186"/>
      <c r="E559" s="182"/>
      <c r="F559" s="182"/>
      <c r="G559" s="187"/>
      <c r="H559" s="187"/>
      <c r="I559" s="187"/>
      <c r="J559" s="182"/>
      <c r="K559" s="182"/>
      <c r="L559" s="187"/>
      <c r="M559" s="182"/>
      <c r="N559" s="182"/>
      <c r="O559" s="182"/>
      <c r="P559" s="182"/>
      <c r="Q559" s="182"/>
      <c r="R559" s="182"/>
      <c r="S559" s="182"/>
      <c r="T559" s="182"/>
      <c r="U559" s="182"/>
      <c r="AA559" s="35"/>
      <c r="AB559" s="35"/>
    </row>
    <row r="560" spans="1:28" x14ac:dyDescent="0.2">
      <c r="A560" s="177"/>
      <c r="B560" s="186"/>
      <c r="C560" s="186"/>
      <c r="D560" s="186"/>
      <c r="E560" s="182"/>
      <c r="F560" s="182"/>
      <c r="G560" s="187"/>
      <c r="H560" s="187"/>
      <c r="I560" s="187"/>
      <c r="J560" s="182"/>
      <c r="K560" s="182"/>
      <c r="L560" s="187"/>
      <c r="M560" s="182"/>
      <c r="N560" s="182"/>
      <c r="O560" s="182"/>
      <c r="P560" s="182"/>
      <c r="Q560" s="182"/>
      <c r="R560" s="182"/>
      <c r="S560" s="182"/>
      <c r="T560" s="182"/>
      <c r="U560" s="182"/>
      <c r="AA560" s="35"/>
      <c r="AB560" s="35"/>
    </row>
    <row r="561" spans="1:28" x14ac:dyDescent="0.2">
      <c r="A561" s="177"/>
      <c r="B561" s="186"/>
      <c r="C561" s="186"/>
      <c r="D561" s="186"/>
      <c r="E561" s="182"/>
      <c r="F561" s="182"/>
      <c r="G561" s="187"/>
      <c r="H561" s="187"/>
      <c r="I561" s="187"/>
      <c r="J561" s="182"/>
      <c r="K561" s="182"/>
      <c r="L561" s="187"/>
      <c r="M561" s="182"/>
      <c r="N561" s="182"/>
      <c r="O561" s="182"/>
      <c r="P561" s="182"/>
      <c r="Q561" s="182"/>
      <c r="R561" s="182"/>
      <c r="S561" s="182"/>
      <c r="T561" s="182"/>
      <c r="U561" s="182"/>
      <c r="AA561" s="35"/>
      <c r="AB561" s="35"/>
    </row>
    <row r="562" spans="1:28" x14ac:dyDescent="0.2">
      <c r="A562" s="177"/>
      <c r="B562" s="186"/>
      <c r="C562" s="186"/>
      <c r="D562" s="186"/>
      <c r="E562" s="182"/>
      <c r="F562" s="182"/>
      <c r="G562" s="187"/>
      <c r="H562" s="187"/>
      <c r="I562" s="187"/>
      <c r="J562" s="182"/>
      <c r="K562" s="182"/>
      <c r="L562" s="187"/>
      <c r="M562" s="182"/>
      <c r="N562" s="182"/>
      <c r="O562" s="182"/>
      <c r="P562" s="182"/>
      <c r="Q562" s="182"/>
      <c r="R562" s="182"/>
      <c r="S562" s="182"/>
      <c r="T562" s="182"/>
      <c r="U562" s="182"/>
      <c r="AA562" s="35"/>
      <c r="AB562" s="35"/>
    </row>
    <row r="563" spans="1:28" x14ac:dyDescent="0.2">
      <c r="A563" s="177"/>
      <c r="B563" s="186"/>
      <c r="C563" s="186"/>
      <c r="D563" s="186"/>
      <c r="E563" s="182"/>
      <c r="F563" s="182"/>
      <c r="G563" s="187"/>
      <c r="H563" s="187"/>
      <c r="I563" s="187"/>
      <c r="J563" s="182"/>
      <c r="K563" s="182"/>
      <c r="L563" s="187"/>
      <c r="M563" s="182"/>
      <c r="N563" s="182"/>
      <c r="O563" s="182"/>
      <c r="P563" s="182"/>
      <c r="Q563" s="182"/>
      <c r="R563" s="182"/>
      <c r="S563" s="182"/>
      <c r="T563" s="182"/>
      <c r="U563" s="182"/>
      <c r="AA563" s="35"/>
      <c r="AB563" s="35"/>
    </row>
    <row r="564" spans="1:28" x14ac:dyDescent="0.2">
      <c r="A564" s="177"/>
      <c r="B564" s="186"/>
      <c r="C564" s="186"/>
      <c r="D564" s="186"/>
      <c r="E564" s="182"/>
      <c r="F564" s="182"/>
      <c r="G564" s="187"/>
      <c r="H564" s="187"/>
      <c r="I564" s="187"/>
      <c r="J564" s="182"/>
      <c r="K564" s="182"/>
      <c r="L564" s="187"/>
      <c r="M564" s="182"/>
      <c r="N564" s="182"/>
      <c r="O564" s="182"/>
      <c r="P564" s="182"/>
      <c r="Q564" s="182"/>
      <c r="R564" s="182"/>
      <c r="S564" s="182"/>
      <c r="T564" s="182"/>
      <c r="U564" s="182"/>
      <c r="AA564" s="35"/>
      <c r="AB564" s="35"/>
    </row>
    <row r="565" spans="1:28" x14ac:dyDescent="0.2">
      <c r="A565" s="177"/>
      <c r="B565" s="186"/>
      <c r="C565" s="186"/>
      <c r="D565" s="186"/>
      <c r="E565" s="182"/>
      <c r="F565" s="182"/>
      <c r="G565" s="187"/>
      <c r="H565" s="187"/>
      <c r="I565" s="187"/>
      <c r="J565" s="182"/>
      <c r="K565" s="182"/>
      <c r="L565" s="187"/>
      <c r="M565" s="182"/>
      <c r="N565" s="182"/>
      <c r="O565" s="182"/>
      <c r="P565" s="182"/>
      <c r="Q565" s="182"/>
      <c r="R565" s="182"/>
      <c r="S565" s="182"/>
      <c r="T565" s="182"/>
      <c r="U565" s="182"/>
      <c r="AA565" s="35"/>
      <c r="AB565" s="35"/>
    </row>
    <row r="566" spans="1:28" x14ac:dyDescent="0.2">
      <c r="A566" s="177"/>
      <c r="B566" s="186"/>
      <c r="C566" s="186"/>
      <c r="D566" s="186"/>
      <c r="E566" s="182"/>
      <c r="F566" s="182"/>
      <c r="G566" s="187"/>
      <c r="H566" s="187"/>
      <c r="I566" s="187"/>
      <c r="J566" s="182"/>
      <c r="K566" s="182"/>
      <c r="L566" s="187"/>
      <c r="M566" s="182"/>
      <c r="N566" s="182"/>
      <c r="O566" s="182"/>
      <c r="P566" s="182"/>
      <c r="Q566" s="182"/>
      <c r="R566" s="182"/>
      <c r="S566" s="182"/>
      <c r="T566" s="182"/>
      <c r="U566" s="182"/>
      <c r="AA566" s="35"/>
      <c r="AB566" s="35"/>
    </row>
    <row r="567" spans="1:28" x14ac:dyDescent="0.2">
      <c r="A567" s="177"/>
      <c r="B567" s="186"/>
      <c r="C567" s="186"/>
      <c r="D567" s="186"/>
      <c r="E567" s="182"/>
      <c r="F567" s="182"/>
      <c r="G567" s="187"/>
      <c r="H567" s="187"/>
      <c r="I567" s="187"/>
      <c r="J567" s="182"/>
      <c r="K567" s="182"/>
      <c r="L567" s="187"/>
      <c r="M567" s="182"/>
      <c r="N567" s="182"/>
      <c r="O567" s="182"/>
      <c r="P567" s="182"/>
      <c r="Q567" s="182"/>
      <c r="R567" s="182"/>
      <c r="S567" s="182"/>
      <c r="T567" s="182"/>
      <c r="U567" s="182"/>
      <c r="AA567" s="35"/>
      <c r="AB567" s="35"/>
    </row>
    <row r="568" spans="1:28" x14ac:dyDescent="0.2">
      <c r="A568" s="177"/>
      <c r="B568" s="186"/>
      <c r="C568" s="186"/>
      <c r="D568" s="186"/>
      <c r="E568" s="182"/>
      <c r="F568" s="182"/>
      <c r="G568" s="187"/>
      <c r="H568" s="187"/>
      <c r="I568" s="187"/>
      <c r="J568" s="182"/>
      <c r="K568" s="182"/>
      <c r="L568" s="187"/>
      <c r="M568" s="182"/>
      <c r="N568" s="182"/>
      <c r="O568" s="182"/>
      <c r="P568" s="182"/>
      <c r="Q568" s="182"/>
      <c r="R568" s="182"/>
      <c r="S568" s="182"/>
      <c r="T568" s="182"/>
      <c r="U568" s="182"/>
      <c r="AA568" s="35"/>
      <c r="AB568" s="35"/>
    </row>
    <row r="569" spans="1:28" x14ac:dyDescent="0.2">
      <c r="A569" s="177"/>
      <c r="B569" s="186"/>
      <c r="C569" s="186"/>
      <c r="D569" s="186"/>
      <c r="E569" s="182"/>
      <c r="F569" s="182"/>
      <c r="G569" s="187"/>
      <c r="H569" s="187"/>
      <c r="I569" s="187"/>
      <c r="J569" s="182"/>
      <c r="K569" s="182"/>
      <c r="L569" s="187"/>
      <c r="M569" s="182"/>
      <c r="N569" s="182"/>
      <c r="O569" s="182"/>
      <c r="P569" s="182"/>
      <c r="Q569" s="182"/>
      <c r="R569" s="182"/>
      <c r="S569" s="182"/>
      <c r="T569" s="182"/>
      <c r="U569" s="182"/>
      <c r="AA569" s="35"/>
      <c r="AB569" s="35"/>
    </row>
    <row r="570" spans="1:28" x14ac:dyDescent="0.2">
      <c r="A570" s="177"/>
      <c r="B570" s="186"/>
      <c r="C570" s="186"/>
      <c r="D570" s="186"/>
      <c r="E570" s="182"/>
      <c r="F570" s="182"/>
      <c r="G570" s="187"/>
      <c r="H570" s="187"/>
      <c r="I570" s="187"/>
      <c r="J570" s="182"/>
      <c r="K570" s="182"/>
      <c r="L570" s="187"/>
      <c r="M570" s="182"/>
      <c r="N570" s="182"/>
      <c r="O570" s="182"/>
      <c r="P570" s="182"/>
      <c r="Q570" s="182"/>
      <c r="R570" s="182"/>
      <c r="S570" s="182"/>
      <c r="T570" s="182"/>
      <c r="U570" s="182"/>
      <c r="AA570" s="35"/>
      <c r="AB570" s="35"/>
    </row>
    <row r="571" spans="1:28" x14ac:dyDescent="0.2">
      <c r="A571" s="177"/>
      <c r="B571" s="186"/>
      <c r="C571" s="186"/>
      <c r="D571" s="186"/>
      <c r="E571" s="182"/>
      <c r="F571" s="182"/>
      <c r="G571" s="187"/>
      <c r="H571" s="187"/>
      <c r="I571" s="187"/>
      <c r="J571" s="182"/>
      <c r="K571" s="182"/>
      <c r="L571" s="187"/>
      <c r="M571" s="182"/>
      <c r="N571" s="182"/>
      <c r="O571" s="182"/>
      <c r="P571" s="182"/>
      <c r="Q571" s="182"/>
      <c r="R571" s="182"/>
      <c r="S571" s="182"/>
      <c r="T571" s="182"/>
      <c r="U571" s="182"/>
      <c r="AA571" s="35"/>
      <c r="AB571" s="35"/>
    </row>
    <row r="572" spans="1:28" x14ac:dyDescent="0.2">
      <c r="A572" s="177"/>
      <c r="B572" s="186"/>
      <c r="C572" s="186"/>
      <c r="D572" s="186"/>
      <c r="E572" s="182"/>
      <c r="F572" s="182"/>
      <c r="G572" s="187"/>
      <c r="H572" s="187"/>
      <c r="I572" s="187"/>
      <c r="J572" s="182"/>
      <c r="K572" s="182"/>
      <c r="L572" s="187"/>
      <c r="M572" s="182"/>
      <c r="N572" s="182"/>
      <c r="O572" s="182"/>
      <c r="P572" s="182"/>
      <c r="Q572" s="182"/>
      <c r="R572" s="182"/>
      <c r="S572" s="182"/>
      <c r="T572" s="182"/>
      <c r="U572" s="182"/>
      <c r="AA572" s="35"/>
      <c r="AB572" s="35"/>
    </row>
    <row r="573" spans="1:28" x14ac:dyDescent="0.2">
      <c r="A573" s="177"/>
      <c r="B573" s="186"/>
      <c r="C573" s="186"/>
      <c r="D573" s="186"/>
      <c r="E573" s="182"/>
      <c r="F573" s="182"/>
      <c r="G573" s="187"/>
      <c r="H573" s="187"/>
      <c r="I573" s="187"/>
      <c r="J573" s="182"/>
      <c r="K573" s="182"/>
      <c r="L573" s="187"/>
      <c r="M573" s="182"/>
      <c r="N573" s="182"/>
      <c r="O573" s="182"/>
      <c r="P573" s="182"/>
      <c r="Q573" s="182"/>
      <c r="R573" s="182"/>
      <c r="S573" s="182"/>
      <c r="T573" s="182"/>
      <c r="U573" s="182"/>
      <c r="AA573" s="35"/>
      <c r="AB573" s="35"/>
    </row>
    <row r="574" spans="1:28" x14ac:dyDescent="0.2">
      <c r="A574" s="177"/>
      <c r="B574" s="186"/>
      <c r="C574" s="186"/>
      <c r="D574" s="186"/>
      <c r="E574" s="182"/>
      <c r="F574" s="182"/>
      <c r="G574" s="187"/>
      <c r="H574" s="187"/>
      <c r="I574" s="187"/>
      <c r="J574" s="182"/>
      <c r="K574" s="182"/>
      <c r="L574" s="187"/>
      <c r="M574" s="182"/>
      <c r="N574" s="182"/>
      <c r="O574" s="182"/>
      <c r="P574" s="182"/>
      <c r="Q574" s="182"/>
      <c r="R574" s="182"/>
      <c r="S574" s="182"/>
      <c r="T574" s="182"/>
      <c r="U574" s="182"/>
      <c r="AA574" s="35"/>
      <c r="AB574" s="35"/>
    </row>
    <row r="575" spans="1:28" x14ac:dyDescent="0.2">
      <c r="A575" s="177"/>
      <c r="B575" s="186"/>
      <c r="C575" s="186"/>
      <c r="D575" s="186"/>
      <c r="E575" s="182"/>
      <c r="F575" s="182"/>
      <c r="G575" s="187"/>
      <c r="H575" s="187"/>
      <c r="I575" s="187"/>
      <c r="J575" s="182"/>
      <c r="K575" s="182"/>
      <c r="L575" s="187"/>
      <c r="M575" s="182"/>
      <c r="N575" s="182"/>
      <c r="O575" s="182"/>
      <c r="P575" s="182"/>
      <c r="Q575" s="182"/>
      <c r="R575" s="182"/>
      <c r="S575" s="182"/>
      <c r="T575" s="182"/>
      <c r="U575" s="182"/>
      <c r="AA575" s="35"/>
      <c r="AB575" s="35"/>
    </row>
    <row r="576" spans="1:28" x14ac:dyDescent="0.2">
      <c r="A576" s="177"/>
      <c r="B576" s="186"/>
      <c r="C576" s="186"/>
      <c r="D576" s="186"/>
      <c r="E576" s="182"/>
      <c r="F576" s="182"/>
      <c r="G576" s="187"/>
      <c r="H576" s="187"/>
      <c r="I576" s="187"/>
      <c r="J576" s="182"/>
      <c r="K576" s="182"/>
      <c r="L576" s="187"/>
      <c r="M576" s="182"/>
      <c r="N576" s="182"/>
      <c r="O576" s="182"/>
      <c r="P576" s="182"/>
      <c r="Q576" s="182"/>
      <c r="R576" s="182"/>
      <c r="S576" s="182"/>
      <c r="T576" s="182"/>
      <c r="U576" s="182"/>
      <c r="AA576" s="35"/>
      <c r="AB576" s="35"/>
    </row>
    <row r="577" spans="1:28" x14ac:dyDescent="0.2">
      <c r="A577" s="177"/>
      <c r="B577" s="186"/>
      <c r="C577" s="186"/>
      <c r="D577" s="186"/>
      <c r="E577" s="182"/>
      <c r="F577" s="182"/>
      <c r="G577" s="187"/>
      <c r="H577" s="187"/>
      <c r="I577" s="187"/>
      <c r="J577" s="182"/>
      <c r="K577" s="182"/>
      <c r="L577" s="187"/>
      <c r="M577" s="182"/>
      <c r="N577" s="182"/>
      <c r="O577" s="182"/>
      <c r="P577" s="182"/>
      <c r="Q577" s="182"/>
      <c r="R577" s="182"/>
      <c r="S577" s="182"/>
      <c r="T577" s="182"/>
      <c r="U577" s="182"/>
      <c r="AA577" s="35"/>
      <c r="AB577" s="35"/>
    </row>
    <row r="578" spans="1:28" x14ac:dyDescent="0.2">
      <c r="A578" s="177"/>
      <c r="B578" s="186"/>
      <c r="C578" s="186"/>
      <c r="D578" s="186"/>
      <c r="E578" s="182"/>
      <c r="F578" s="182"/>
      <c r="G578" s="187"/>
      <c r="H578" s="187"/>
      <c r="I578" s="187"/>
      <c r="J578" s="182"/>
      <c r="K578" s="182"/>
      <c r="L578" s="187"/>
      <c r="M578" s="182"/>
      <c r="N578" s="182"/>
      <c r="O578" s="182"/>
      <c r="P578" s="182"/>
      <c r="Q578" s="182"/>
      <c r="R578" s="182"/>
      <c r="S578" s="182"/>
      <c r="T578" s="182"/>
      <c r="U578" s="182"/>
      <c r="AA578" s="35"/>
      <c r="AB578" s="35"/>
    </row>
    <row r="579" spans="1:28" x14ac:dyDescent="0.2">
      <c r="A579" s="177"/>
      <c r="B579" s="186"/>
      <c r="C579" s="186"/>
      <c r="D579" s="186"/>
      <c r="E579" s="182"/>
      <c r="F579" s="182"/>
      <c r="G579" s="187"/>
      <c r="H579" s="187"/>
      <c r="I579" s="187"/>
      <c r="J579" s="182"/>
      <c r="K579" s="182"/>
      <c r="L579" s="187"/>
      <c r="M579" s="182"/>
      <c r="N579" s="182"/>
      <c r="O579" s="182"/>
      <c r="P579" s="182"/>
      <c r="Q579" s="182"/>
      <c r="R579" s="182"/>
      <c r="S579" s="182"/>
      <c r="T579" s="182"/>
      <c r="U579" s="182"/>
      <c r="AA579" s="35"/>
      <c r="AB579" s="35"/>
    </row>
    <row r="580" spans="1:28" x14ac:dyDescent="0.2">
      <c r="A580" s="177"/>
      <c r="B580" s="186"/>
      <c r="C580" s="186"/>
      <c r="D580" s="186"/>
      <c r="E580" s="182"/>
      <c r="F580" s="182"/>
      <c r="G580" s="187"/>
      <c r="H580" s="187"/>
      <c r="I580" s="187"/>
      <c r="J580" s="182"/>
      <c r="K580" s="182"/>
      <c r="L580" s="187"/>
      <c r="M580" s="182"/>
      <c r="N580" s="182"/>
      <c r="O580" s="182"/>
      <c r="P580" s="182"/>
      <c r="Q580" s="182"/>
      <c r="R580" s="182"/>
      <c r="S580" s="182"/>
      <c r="T580" s="182"/>
      <c r="U580" s="182"/>
      <c r="AA580" s="35"/>
      <c r="AB580" s="35"/>
    </row>
    <row r="581" spans="1:28" x14ac:dyDescent="0.2">
      <c r="A581" s="177"/>
      <c r="B581" s="186"/>
      <c r="C581" s="186"/>
      <c r="D581" s="186"/>
      <c r="E581" s="182"/>
      <c r="F581" s="182"/>
      <c r="G581" s="187"/>
      <c r="H581" s="187"/>
      <c r="I581" s="187"/>
      <c r="J581" s="182"/>
      <c r="K581" s="182"/>
      <c r="L581" s="187"/>
      <c r="M581" s="182"/>
      <c r="N581" s="182"/>
      <c r="O581" s="182"/>
      <c r="P581" s="182"/>
      <c r="Q581" s="182"/>
      <c r="R581" s="182"/>
      <c r="S581" s="182"/>
      <c r="T581" s="182"/>
      <c r="U581" s="182"/>
      <c r="AA581" s="35"/>
      <c r="AB581" s="35"/>
    </row>
    <row r="582" spans="1:28" x14ac:dyDescent="0.2">
      <c r="A582" s="177"/>
      <c r="B582" s="186"/>
      <c r="C582" s="186"/>
      <c r="D582" s="186"/>
      <c r="E582" s="182"/>
      <c r="F582" s="182"/>
      <c r="G582" s="187"/>
      <c r="H582" s="187"/>
      <c r="I582" s="187"/>
      <c r="J582" s="182"/>
      <c r="K582" s="182"/>
      <c r="L582" s="187"/>
      <c r="M582" s="182"/>
      <c r="N582" s="182"/>
      <c r="O582" s="182"/>
      <c r="P582" s="182"/>
      <c r="Q582" s="182"/>
      <c r="R582" s="182"/>
      <c r="S582" s="182"/>
      <c r="T582" s="182"/>
      <c r="U582" s="182"/>
      <c r="AA582" s="35"/>
      <c r="AB582" s="35"/>
    </row>
    <row r="583" spans="1:28" x14ac:dyDescent="0.2">
      <c r="A583" s="177"/>
      <c r="B583" s="186"/>
      <c r="C583" s="186"/>
      <c r="D583" s="186"/>
      <c r="E583" s="182"/>
      <c r="F583" s="182"/>
      <c r="G583" s="187"/>
      <c r="H583" s="187"/>
      <c r="I583" s="187"/>
      <c r="J583" s="182"/>
      <c r="K583" s="182"/>
      <c r="L583" s="187"/>
      <c r="M583" s="182"/>
      <c r="N583" s="182"/>
      <c r="O583" s="182"/>
      <c r="P583" s="182"/>
      <c r="Q583" s="182"/>
      <c r="R583" s="182"/>
      <c r="S583" s="182"/>
      <c r="T583" s="182"/>
      <c r="U583" s="182"/>
      <c r="AA583" s="35"/>
      <c r="AB583" s="35"/>
    </row>
    <row r="584" spans="1:28" x14ac:dyDescent="0.2">
      <c r="A584" s="177"/>
      <c r="B584" s="186"/>
      <c r="C584" s="186"/>
      <c r="D584" s="186"/>
      <c r="E584" s="182"/>
      <c r="F584" s="182"/>
      <c r="G584" s="187"/>
      <c r="H584" s="187"/>
      <c r="I584" s="187"/>
      <c r="J584" s="182"/>
      <c r="K584" s="182"/>
      <c r="L584" s="187"/>
      <c r="M584" s="182"/>
      <c r="N584" s="182"/>
      <c r="O584" s="182"/>
      <c r="P584" s="182"/>
      <c r="Q584" s="182"/>
      <c r="R584" s="182"/>
      <c r="S584" s="182"/>
      <c r="T584" s="182"/>
      <c r="U584" s="182"/>
      <c r="AA584" s="35"/>
      <c r="AB584" s="35"/>
    </row>
    <row r="585" spans="1:28" x14ac:dyDescent="0.2">
      <c r="A585" s="177"/>
      <c r="B585" s="186"/>
      <c r="C585" s="186"/>
      <c r="D585" s="186"/>
      <c r="E585" s="182"/>
      <c r="F585" s="182"/>
      <c r="G585" s="187"/>
      <c r="H585" s="187"/>
      <c r="I585" s="187"/>
      <c r="J585" s="182"/>
      <c r="K585" s="182"/>
      <c r="L585" s="187"/>
      <c r="M585" s="182"/>
      <c r="N585" s="182"/>
      <c r="O585" s="182"/>
      <c r="P585" s="182"/>
      <c r="Q585" s="182"/>
      <c r="R585" s="182"/>
      <c r="S585" s="182"/>
      <c r="T585" s="182"/>
      <c r="U585" s="182"/>
      <c r="AA585" s="35"/>
      <c r="AB585" s="35"/>
    </row>
    <row r="586" spans="1:28" x14ac:dyDescent="0.2">
      <c r="A586" s="177"/>
      <c r="B586" s="186"/>
      <c r="C586" s="186"/>
      <c r="D586" s="186"/>
      <c r="E586" s="182"/>
      <c r="F586" s="182"/>
      <c r="G586" s="187"/>
      <c r="H586" s="187"/>
      <c r="I586" s="187"/>
      <c r="J586" s="182"/>
      <c r="K586" s="182"/>
      <c r="L586" s="187"/>
      <c r="M586" s="182"/>
      <c r="N586" s="182"/>
      <c r="O586" s="182"/>
      <c r="P586" s="182"/>
      <c r="Q586" s="182"/>
      <c r="R586" s="182"/>
      <c r="S586" s="182"/>
      <c r="T586" s="182"/>
      <c r="U586" s="182"/>
      <c r="AA586" s="35"/>
      <c r="AB586" s="35"/>
    </row>
    <row r="587" spans="1:28" x14ac:dyDescent="0.2">
      <c r="A587" s="177"/>
      <c r="B587" s="186"/>
      <c r="C587" s="186"/>
      <c r="D587" s="186"/>
      <c r="E587" s="182"/>
      <c r="F587" s="182"/>
      <c r="G587" s="187"/>
      <c r="H587" s="187"/>
      <c r="I587" s="187"/>
      <c r="J587" s="182"/>
      <c r="K587" s="182"/>
      <c r="L587" s="187"/>
      <c r="M587" s="182"/>
      <c r="N587" s="182"/>
      <c r="O587" s="182"/>
      <c r="P587" s="182"/>
      <c r="Q587" s="182"/>
      <c r="R587" s="182"/>
      <c r="S587" s="182"/>
      <c r="T587" s="182"/>
      <c r="U587" s="182"/>
      <c r="AA587" s="35"/>
      <c r="AB587" s="35"/>
    </row>
    <row r="588" spans="1:28" x14ac:dyDescent="0.2">
      <c r="A588" s="177"/>
      <c r="B588" s="186"/>
      <c r="C588" s="186"/>
      <c r="D588" s="186"/>
      <c r="E588" s="182"/>
      <c r="F588" s="182"/>
      <c r="G588" s="187"/>
      <c r="H588" s="187"/>
      <c r="I588" s="187"/>
      <c r="J588" s="182"/>
      <c r="K588" s="182"/>
      <c r="L588" s="187"/>
      <c r="M588" s="182"/>
      <c r="N588" s="182"/>
      <c r="O588" s="182"/>
      <c r="P588" s="182"/>
      <c r="Q588" s="182"/>
      <c r="R588" s="182"/>
      <c r="S588" s="182"/>
      <c r="T588" s="182"/>
      <c r="U588" s="182"/>
      <c r="AA588" s="35"/>
      <c r="AB588" s="35"/>
    </row>
    <row r="589" spans="1:28" x14ac:dyDescent="0.2">
      <c r="A589" s="177"/>
      <c r="B589" s="186"/>
      <c r="C589" s="186"/>
      <c r="D589" s="186"/>
      <c r="E589" s="182"/>
      <c r="F589" s="182"/>
      <c r="G589" s="187"/>
      <c r="H589" s="187"/>
      <c r="I589" s="187"/>
      <c r="J589" s="182"/>
      <c r="K589" s="182"/>
      <c r="L589" s="187"/>
      <c r="M589" s="182"/>
      <c r="N589" s="182"/>
      <c r="O589" s="182"/>
      <c r="P589" s="182"/>
      <c r="Q589" s="182"/>
      <c r="R589" s="182"/>
      <c r="S589" s="182"/>
      <c r="T589" s="182"/>
      <c r="U589" s="182"/>
      <c r="AA589" s="35"/>
      <c r="AB589" s="35"/>
    </row>
    <row r="590" spans="1:28" x14ac:dyDescent="0.2">
      <c r="A590" s="177"/>
      <c r="B590" s="186"/>
      <c r="C590" s="186"/>
      <c r="D590" s="186"/>
      <c r="E590" s="182"/>
      <c r="F590" s="182"/>
      <c r="G590" s="187"/>
      <c r="H590" s="187"/>
      <c r="I590" s="187"/>
      <c r="J590" s="182"/>
      <c r="K590" s="182"/>
      <c r="L590" s="187"/>
      <c r="M590" s="182"/>
      <c r="N590" s="182"/>
      <c r="O590" s="182"/>
      <c r="P590" s="182"/>
      <c r="Q590" s="182"/>
      <c r="R590" s="182"/>
      <c r="S590" s="182"/>
      <c r="T590" s="182"/>
      <c r="U590" s="182"/>
      <c r="AA590" s="35"/>
      <c r="AB590" s="35"/>
    </row>
    <row r="591" spans="1:28" x14ac:dyDescent="0.2">
      <c r="A591" s="177"/>
      <c r="B591" s="186"/>
      <c r="C591" s="186"/>
      <c r="D591" s="186"/>
      <c r="E591" s="182"/>
      <c r="F591" s="182"/>
      <c r="G591" s="187"/>
      <c r="H591" s="187"/>
      <c r="I591" s="187"/>
      <c r="J591" s="182"/>
      <c r="K591" s="182"/>
      <c r="L591" s="187"/>
      <c r="M591" s="182"/>
      <c r="N591" s="182"/>
      <c r="O591" s="182"/>
      <c r="P591" s="182"/>
      <c r="Q591" s="182"/>
      <c r="R591" s="182"/>
      <c r="S591" s="182"/>
      <c r="T591" s="182"/>
      <c r="U591" s="182"/>
      <c r="AA591" s="35"/>
      <c r="AB591" s="35"/>
    </row>
    <row r="592" spans="1:28" x14ac:dyDescent="0.2">
      <c r="A592" s="177"/>
      <c r="B592" s="186"/>
      <c r="C592" s="186"/>
      <c r="D592" s="186"/>
      <c r="E592" s="182"/>
      <c r="F592" s="182"/>
      <c r="G592" s="187"/>
      <c r="H592" s="187"/>
      <c r="I592" s="187"/>
      <c r="J592" s="182"/>
      <c r="K592" s="182"/>
      <c r="L592" s="187"/>
      <c r="M592" s="182"/>
      <c r="N592" s="182"/>
      <c r="O592" s="182"/>
      <c r="P592" s="182"/>
      <c r="Q592" s="182"/>
      <c r="R592" s="182"/>
      <c r="S592" s="182"/>
      <c r="T592" s="182"/>
      <c r="U592" s="182"/>
      <c r="AA592" s="35"/>
      <c r="AB592" s="35"/>
    </row>
    <row r="593" spans="1:28" x14ac:dyDescent="0.2">
      <c r="A593" s="177"/>
      <c r="B593" s="186"/>
      <c r="C593" s="186"/>
      <c r="D593" s="186"/>
      <c r="E593" s="182"/>
      <c r="F593" s="182"/>
      <c r="G593" s="187"/>
      <c r="H593" s="187"/>
      <c r="I593" s="187"/>
      <c r="J593" s="182"/>
      <c r="K593" s="182"/>
      <c r="L593" s="187"/>
      <c r="M593" s="182"/>
      <c r="N593" s="182"/>
      <c r="O593" s="182"/>
      <c r="P593" s="182"/>
      <c r="Q593" s="182"/>
      <c r="R593" s="182"/>
      <c r="S593" s="182"/>
      <c r="T593" s="182"/>
      <c r="U593" s="182"/>
      <c r="AA593" s="35"/>
      <c r="AB593" s="35"/>
    </row>
    <row r="594" spans="1:28" x14ac:dyDescent="0.2">
      <c r="A594" s="177"/>
      <c r="B594" s="186"/>
      <c r="C594" s="186"/>
      <c r="D594" s="186"/>
      <c r="E594" s="182"/>
      <c r="F594" s="182"/>
      <c r="G594" s="187"/>
      <c r="H594" s="187"/>
      <c r="I594" s="187"/>
      <c r="J594" s="182"/>
      <c r="K594" s="182"/>
      <c r="L594" s="187"/>
      <c r="M594" s="182"/>
      <c r="N594" s="182"/>
      <c r="O594" s="182"/>
      <c r="P594" s="182"/>
      <c r="Q594" s="182"/>
      <c r="R594" s="182"/>
      <c r="S594" s="182"/>
      <c r="T594" s="182"/>
      <c r="U594" s="182"/>
      <c r="AA594" s="35"/>
      <c r="AB594" s="35"/>
    </row>
    <row r="595" spans="1:28" x14ac:dyDescent="0.2">
      <c r="A595" s="177"/>
      <c r="B595" s="186"/>
      <c r="C595" s="186"/>
      <c r="D595" s="186"/>
      <c r="E595" s="182"/>
      <c r="F595" s="182"/>
      <c r="G595" s="187"/>
      <c r="H595" s="187"/>
      <c r="I595" s="187"/>
      <c r="J595" s="182"/>
      <c r="K595" s="182"/>
      <c r="L595" s="187"/>
      <c r="M595" s="182"/>
      <c r="N595" s="182"/>
      <c r="O595" s="182"/>
      <c r="P595" s="182"/>
      <c r="Q595" s="182"/>
      <c r="R595" s="182"/>
      <c r="S595" s="182"/>
      <c r="T595" s="182"/>
      <c r="U595" s="182"/>
      <c r="AA595" s="35"/>
      <c r="AB595" s="35"/>
    </row>
    <row r="596" spans="1:28" x14ac:dyDescent="0.2">
      <c r="A596" s="177"/>
      <c r="B596" s="186"/>
      <c r="C596" s="186"/>
      <c r="D596" s="186"/>
      <c r="E596" s="182"/>
      <c r="F596" s="182"/>
      <c r="G596" s="187"/>
      <c r="H596" s="187"/>
      <c r="I596" s="187"/>
      <c r="J596" s="182"/>
      <c r="K596" s="182"/>
      <c r="L596" s="187"/>
      <c r="M596" s="182"/>
      <c r="N596" s="182"/>
      <c r="O596" s="182"/>
      <c r="P596" s="182"/>
      <c r="Q596" s="182"/>
      <c r="R596" s="182"/>
      <c r="S596" s="182"/>
      <c r="T596" s="182"/>
      <c r="U596" s="182"/>
      <c r="AA596" s="35"/>
      <c r="AB596" s="35"/>
    </row>
    <row r="597" spans="1:28" x14ac:dyDescent="0.2">
      <c r="A597" s="177"/>
      <c r="B597" s="186"/>
      <c r="C597" s="186"/>
      <c r="D597" s="186"/>
      <c r="E597" s="182"/>
      <c r="F597" s="182"/>
      <c r="G597" s="187"/>
      <c r="H597" s="187"/>
      <c r="I597" s="187"/>
      <c r="J597" s="182"/>
      <c r="K597" s="182"/>
      <c r="L597" s="187"/>
      <c r="M597" s="182"/>
      <c r="N597" s="182"/>
      <c r="O597" s="182"/>
      <c r="P597" s="182"/>
      <c r="Q597" s="182"/>
      <c r="R597" s="182"/>
      <c r="S597" s="182"/>
      <c r="T597" s="182"/>
      <c r="U597" s="182"/>
      <c r="AA597" s="35"/>
      <c r="AB597" s="35"/>
    </row>
    <row r="598" spans="1:28" x14ac:dyDescent="0.2">
      <c r="A598" s="177"/>
      <c r="B598" s="186"/>
      <c r="C598" s="186"/>
      <c r="D598" s="186"/>
      <c r="E598" s="182"/>
      <c r="F598" s="182"/>
      <c r="G598" s="187"/>
      <c r="H598" s="187"/>
      <c r="I598" s="187"/>
      <c r="J598" s="182"/>
      <c r="K598" s="182"/>
      <c r="L598" s="187"/>
      <c r="M598" s="182"/>
      <c r="N598" s="182"/>
      <c r="O598" s="182"/>
      <c r="P598" s="182"/>
      <c r="Q598" s="182"/>
      <c r="R598" s="182"/>
      <c r="S598" s="182"/>
      <c r="T598" s="182"/>
      <c r="U598" s="182"/>
      <c r="AA598" s="35"/>
      <c r="AB598" s="35"/>
    </row>
    <row r="599" spans="1:28" x14ac:dyDescent="0.2">
      <c r="A599" s="177"/>
      <c r="B599" s="186"/>
      <c r="C599" s="186"/>
      <c r="D599" s="186"/>
      <c r="E599" s="182"/>
      <c r="F599" s="182"/>
      <c r="G599" s="187"/>
      <c r="H599" s="187"/>
      <c r="I599" s="187"/>
      <c r="J599" s="182"/>
      <c r="K599" s="182"/>
      <c r="L599" s="187"/>
      <c r="M599" s="182"/>
      <c r="N599" s="182"/>
      <c r="O599" s="182"/>
      <c r="P599" s="182"/>
      <c r="Q599" s="182"/>
      <c r="R599" s="182"/>
      <c r="S599" s="182"/>
      <c r="T599" s="182"/>
      <c r="U599" s="182"/>
      <c r="AA599" s="35"/>
      <c r="AB599" s="35"/>
    </row>
    <row r="600" spans="1:28" x14ac:dyDescent="0.2">
      <c r="A600" s="177"/>
      <c r="B600" s="186"/>
      <c r="C600" s="186"/>
      <c r="D600" s="186"/>
      <c r="E600" s="182"/>
      <c r="F600" s="182"/>
      <c r="G600" s="187"/>
      <c r="H600" s="187"/>
      <c r="I600" s="187"/>
      <c r="J600" s="182"/>
      <c r="K600" s="182"/>
      <c r="L600" s="187"/>
      <c r="M600" s="182"/>
      <c r="N600" s="182"/>
      <c r="O600" s="182"/>
      <c r="P600" s="182"/>
      <c r="Q600" s="182"/>
      <c r="R600" s="182"/>
      <c r="S600" s="182"/>
      <c r="T600" s="182"/>
      <c r="U600" s="182"/>
      <c r="AA600" s="35"/>
      <c r="AB600" s="35"/>
    </row>
    <row r="601" spans="1:28" x14ac:dyDescent="0.2">
      <c r="A601" s="177"/>
      <c r="B601" s="186"/>
      <c r="C601" s="186"/>
      <c r="D601" s="186"/>
      <c r="E601" s="182"/>
      <c r="F601" s="182"/>
      <c r="G601" s="187"/>
      <c r="H601" s="187"/>
      <c r="I601" s="187"/>
      <c r="J601" s="182"/>
      <c r="K601" s="182"/>
      <c r="L601" s="187"/>
      <c r="M601" s="182"/>
      <c r="N601" s="182"/>
      <c r="O601" s="182"/>
      <c r="P601" s="182"/>
      <c r="Q601" s="182"/>
      <c r="R601" s="182"/>
      <c r="S601" s="182"/>
      <c r="T601" s="182"/>
      <c r="U601" s="182"/>
      <c r="AA601" s="35"/>
      <c r="AB601" s="35"/>
    </row>
    <row r="602" spans="1:28" x14ac:dyDescent="0.2">
      <c r="A602" s="177"/>
      <c r="B602" s="186"/>
      <c r="C602" s="186"/>
      <c r="D602" s="186"/>
      <c r="E602" s="182"/>
      <c r="F602" s="182"/>
      <c r="G602" s="187"/>
      <c r="H602" s="187"/>
      <c r="I602" s="187"/>
      <c r="J602" s="182"/>
      <c r="K602" s="182"/>
      <c r="L602" s="187"/>
      <c r="M602" s="182"/>
      <c r="N602" s="182"/>
      <c r="O602" s="182"/>
      <c r="P602" s="182"/>
      <c r="Q602" s="182"/>
      <c r="R602" s="182"/>
      <c r="S602" s="182"/>
      <c r="T602" s="182"/>
      <c r="U602" s="182"/>
      <c r="AA602" s="35"/>
      <c r="AB602" s="35"/>
    </row>
    <row r="603" spans="1:28" x14ac:dyDescent="0.2">
      <c r="A603" s="177"/>
      <c r="B603" s="186"/>
      <c r="C603" s="186"/>
      <c r="D603" s="186"/>
      <c r="E603" s="182"/>
      <c r="F603" s="182"/>
      <c r="G603" s="187"/>
      <c r="H603" s="187"/>
      <c r="I603" s="187"/>
      <c r="J603" s="182"/>
      <c r="K603" s="182"/>
      <c r="L603" s="187"/>
      <c r="M603" s="182"/>
      <c r="N603" s="182"/>
      <c r="O603" s="182"/>
      <c r="P603" s="182"/>
      <c r="Q603" s="182"/>
      <c r="R603" s="182"/>
      <c r="S603" s="182"/>
      <c r="T603" s="182"/>
      <c r="U603" s="182"/>
      <c r="AA603" s="35"/>
      <c r="AB603" s="35"/>
    </row>
    <row r="604" spans="1:28" x14ac:dyDescent="0.2">
      <c r="A604" s="177"/>
      <c r="B604" s="186"/>
      <c r="C604" s="186"/>
      <c r="D604" s="186"/>
      <c r="E604" s="182"/>
      <c r="F604" s="182"/>
      <c r="G604" s="187"/>
      <c r="H604" s="187"/>
      <c r="I604" s="187"/>
      <c r="J604" s="182"/>
      <c r="K604" s="182"/>
      <c r="L604" s="187"/>
      <c r="M604" s="182"/>
      <c r="N604" s="182"/>
      <c r="O604" s="182"/>
      <c r="P604" s="182"/>
      <c r="Q604" s="182"/>
      <c r="R604" s="182"/>
      <c r="S604" s="182"/>
      <c r="T604" s="182"/>
      <c r="U604" s="182"/>
      <c r="AA604" s="35"/>
      <c r="AB604" s="35"/>
    </row>
    <row r="605" spans="1:28" x14ac:dyDescent="0.2">
      <c r="A605" s="177"/>
      <c r="B605" s="186"/>
      <c r="C605" s="186"/>
      <c r="D605" s="186"/>
      <c r="E605" s="182"/>
      <c r="F605" s="182"/>
      <c r="G605" s="187"/>
      <c r="H605" s="187"/>
      <c r="I605" s="187"/>
      <c r="J605" s="182"/>
      <c r="K605" s="182"/>
      <c r="L605" s="187"/>
      <c r="M605" s="182"/>
      <c r="N605" s="182"/>
      <c r="O605" s="182"/>
      <c r="P605" s="182"/>
      <c r="Q605" s="182"/>
      <c r="R605" s="182"/>
      <c r="S605" s="182"/>
      <c r="T605" s="182"/>
      <c r="U605" s="182"/>
      <c r="AA605" s="35"/>
      <c r="AB605" s="35"/>
    </row>
    <row r="606" spans="1:28" x14ac:dyDescent="0.2">
      <c r="A606" s="177"/>
      <c r="B606" s="186"/>
      <c r="C606" s="186"/>
      <c r="D606" s="186"/>
      <c r="E606" s="182"/>
      <c r="F606" s="182"/>
      <c r="G606" s="187"/>
      <c r="H606" s="187"/>
      <c r="I606" s="187"/>
      <c r="J606" s="182"/>
      <c r="K606" s="182"/>
      <c r="L606" s="187"/>
      <c r="M606" s="182"/>
      <c r="N606" s="182"/>
      <c r="O606" s="182"/>
      <c r="P606" s="182"/>
      <c r="Q606" s="182"/>
      <c r="R606" s="182"/>
      <c r="S606" s="182"/>
      <c r="T606" s="182"/>
      <c r="U606" s="182"/>
      <c r="AA606" s="35"/>
      <c r="AB606" s="35"/>
    </row>
    <row r="607" spans="1:28" x14ac:dyDescent="0.2">
      <c r="A607" s="177"/>
      <c r="B607" s="186"/>
      <c r="C607" s="186"/>
      <c r="D607" s="186"/>
      <c r="E607" s="182"/>
      <c r="F607" s="182"/>
      <c r="G607" s="187"/>
      <c r="H607" s="187"/>
      <c r="I607" s="187"/>
      <c r="J607" s="182"/>
      <c r="K607" s="182"/>
      <c r="L607" s="187"/>
      <c r="M607" s="182"/>
      <c r="N607" s="182"/>
      <c r="O607" s="182"/>
      <c r="P607" s="182"/>
      <c r="Q607" s="182"/>
      <c r="R607" s="182"/>
      <c r="S607" s="182"/>
      <c r="T607" s="182"/>
      <c r="U607" s="182"/>
      <c r="AA607" s="35"/>
      <c r="AB607" s="35"/>
    </row>
    <row r="608" spans="1:28" x14ac:dyDescent="0.2">
      <c r="A608" s="177"/>
      <c r="B608" s="186"/>
      <c r="C608" s="186"/>
      <c r="D608" s="186"/>
      <c r="E608" s="182"/>
      <c r="F608" s="182"/>
      <c r="G608" s="187"/>
      <c r="H608" s="187"/>
      <c r="I608" s="187"/>
      <c r="J608" s="182"/>
      <c r="K608" s="182"/>
      <c r="L608" s="187"/>
      <c r="M608" s="182"/>
      <c r="N608" s="182"/>
      <c r="O608" s="182"/>
      <c r="P608" s="182"/>
      <c r="Q608" s="182"/>
      <c r="R608" s="182"/>
      <c r="S608" s="182"/>
      <c r="T608" s="182"/>
      <c r="U608" s="182"/>
      <c r="AA608" s="35"/>
      <c r="AB608" s="35"/>
    </row>
    <row r="609" spans="1:28" x14ac:dyDescent="0.2">
      <c r="A609" s="177"/>
      <c r="B609" s="186"/>
      <c r="C609" s="186"/>
      <c r="D609" s="186"/>
      <c r="E609" s="182"/>
      <c r="F609" s="182"/>
      <c r="G609" s="187"/>
      <c r="H609" s="187"/>
      <c r="I609" s="187"/>
      <c r="J609" s="182"/>
      <c r="K609" s="182"/>
      <c r="L609" s="187"/>
      <c r="M609" s="182"/>
      <c r="N609" s="182"/>
      <c r="O609" s="182"/>
      <c r="P609" s="182"/>
      <c r="Q609" s="182"/>
      <c r="R609" s="182"/>
      <c r="S609" s="182"/>
      <c r="T609" s="182"/>
      <c r="U609" s="182"/>
      <c r="AA609" s="35"/>
      <c r="AB609" s="35"/>
    </row>
    <row r="610" spans="1:28" x14ac:dyDescent="0.2">
      <c r="A610" s="177"/>
      <c r="B610" s="186"/>
      <c r="C610" s="186"/>
      <c r="D610" s="186"/>
      <c r="E610" s="182"/>
      <c r="F610" s="182"/>
      <c r="G610" s="187"/>
      <c r="H610" s="187"/>
      <c r="I610" s="187"/>
      <c r="J610" s="182"/>
      <c r="K610" s="182"/>
      <c r="L610" s="187"/>
      <c r="M610" s="182"/>
      <c r="N610" s="182"/>
      <c r="O610" s="182"/>
      <c r="P610" s="182"/>
      <c r="Q610" s="182"/>
      <c r="R610" s="182"/>
      <c r="S610" s="182"/>
      <c r="T610" s="182"/>
      <c r="U610" s="182"/>
      <c r="AA610" s="35"/>
      <c r="AB610" s="35"/>
    </row>
    <row r="611" spans="1:28" x14ac:dyDescent="0.2">
      <c r="A611" s="177"/>
      <c r="B611" s="186"/>
      <c r="C611" s="186"/>
      <c r="D611" s="186"/>
      <c r="E611" s="182"/>
      <c r="F611" s="182"/>
      <c r="G611" s="187"/>
      <c r="H611" s="187"/>
      <c r="I611" s="187"/>
      <c r="J611" s="182"/>
      <c r="K611" s="182"/>
      <c r="L611" s="187"/>
      <c r="M611" s="182"/>
      <c r="N611" s="182"/>
      <c r="O611" s="182"/>
      <c r="P611" s="182"/>
      <c r="Q611" s="182"/>
      <c r="R611" s="182"/>
      <c r="S611" s="182"/>
      <c r="T611" s="182"/>
      <c r="U611" s="182"/>
      <c r="AA611" s="35"/>
      <c r="AB611" s="35"/>
    </row>
    <row r="612" spans="1:28" x14ac:dyDescent="0.2">
      <c r="A612" s="177"/>
      <c r="B612" s="186"/>
      <c r="C612" s="186"/>
      <c r="D612" s="186"/>
      <c r="E612" s="182"/>
      <c r="F612" s="182"/>
      <c r="G612" s="187"/>
      <c r="H612" s="187"/>
      <c r="I612" s="187"/>
      <c r="J612" s="182"/>
      <c r="K612" s="182"/>
      <c r="L612" s="187"/>
      <c r="M612" s="182"/>
      <c r="N612" s="182"/>
      <c r="O612" s="182"/>
      <c r="P612" s="182"/>
      <c r="Q612" s="182"/>
      <c r="R612" s="182"/>
      <c r="S612" s="182"/>
      <c r="T612" s="182"/>
      <c r="U612" s="182"/>
      <c r="AA612" s="35"/>
      <c r="AB612" s="35"/>
    </row>
    <row r="613" spans="1:28" x14ac:dyDescent="0.2">
      <c r="A613" s="177"/>
      <c r="B613" s="186"/>
      <c r="C613" s="186"/>
      <c r="D613" s="186"/>
      <c r="E613" s="182"/>
      <c r="F613" s="182"/>
      <c r="G613" s="187"/>
      <c r="H613" s="187"/>
      <c r="I613" s="187"/>
      <c r="J613" s="182"/>
      <c r="K613" s="182"/>
      <c r="L613" s="187"/>
      <c r="M613" s="182"/>
      <c r="N613" s="182"/>
      <c r="O613" s="182"/>
      <c r="P613" s="182"/>
      <c r="Q613" s="182"/>
      <c r="R613" s="182"/>
      <c r="S613" s="182"/>
      <c r="T613" s="182"/>
      <c r="U613" s="182"/>
      <c r="AA613" s="35"/>
      <c r="AB613" s="35"/>
    </row>
    <row r="614" spans="1:28" x14ac:dyDescent="0.2">
      <c r="A614" s="177"/>
      <c r="B614" s="186"/>
      <c r="C614" s="186"/>
      <c r="D614" s="186"/>
      <c r="E614" s="182"/>
      <c r="F614" s="182"/>
      <c r="G614" s="187"/>
      <c r="H614" s="187"/>
      <c r="I614" s="187"/>
      <c r="J614" s="182"/>
      <c r="K614" s="182"/>
      <c r="L614" s="187"/>
      <c r="M614" s="182"/>
      <c r="N614" s="182"/>
      <c r="O614" s="182"/>
      <c r="P614" s="182"/>
      <c r="Q614" s="182"/>
      <c r="R614" s="182"/>
      <c r="S614" s="182"/>
      <c r="T614" s="182"/>
      <c r="U614" s="182"/>
      <c r="AA614" s="35"/>
      <c r="AB614" s="35"/>
    </row>
    <row r="615" spans="1:28" x14ac:dyDescent="0.2">
      <c r="A615" s="177"/>
      <c r="B615" s="186"/>
      <c r="C615" s="186"/>
      <c r="D615" s="186"/>
      <c r="E615" s="182"/>
      <c r="F615" s="182"/>
      <c r="G615" s="187"/>
      <c r="H615" s="187"/>
      <c r="I615" s="187"/>
      <c r="J615" s="182"/>
      <c r="K615" s="182"/>
      <c r="L615" s="187"/>
      <c r="M615" s="182"/>
      <c r="N615" s="182"/>
      <c r="O615" s="182"/>
      <c r="P615" s="182"/>
      <c r="Q615" s="182"/>
      <c r="R615" s="182"/>
      <c r="S615" s="182"/>
      <c r="T615" s="182"/>
      <c r="U615" s="182"/>
      <c r="AA615" s="35"/>
      <c r="AB615" s="35"/>
    </row>
    <row r="616" spans="1:28" x14ac:dyDescent="0.2">
      <c r="A616" s="177"/>
      <c r="B616" s="186"/>
      <c r="C616" s="186"/>
      <c r="D616" s="186"/>
      <c r="E616" s="182"/>
      <c r="F616" s="182"/>
      <c r="G616" s="187"/>
      <c r="H616" s="187"/>
      <c r="I616" s="187"/>
      <c r="J616" s="182"/>
      <c r="K616" s="182"/>
      <c r="L616" s="187"/>
      <c r="M616" s="182"/>
      <c r="N616" s="182"/>
      <c r="O616" s="182"/>
      <c r="P616" s="182"/>
      <c r="Q616" s="182"/>
      <c r="R616" s="182"/>
      <c r="S616" s="182"/>
      <c r="T616" s="182"/>
      <c r="U616" s="182"/>
      <c r="AA616" s="35"/>
      <c r="AB616" s="35"/>
    </row>
    <row r="617" spans="1:28" x14ac:dyDescent="0.2">
      <c r="A617" s="177"/>
      <c r="B617" s="186"/>
      <c r="C617" s="186"/>
      <c r="D617" s="186"/>
      <c r="E617" s="182"/>
      <c r="F617" s="182"/>
      <c r="G617" s="187"/>
      <c r="H617" s="187"/>
      <c r="I617" s="187"/>
      <c r="J617" s="182"/>
      <c r="K617" s="182"/>
      <c r="L617" s="187"/>
      <c r="M617" s="182"/>
      <c r="N617" s="182"/>
      <c r="O617" s="182"/>
      <c r="P617" s="182"/>
      <c r="Q617" s="182"/>
      <c r="R617" s="182"/>
      <c r="S617" s="182"/>
      <c r="T617" s="182"/>
      <c r="U617" s="182"/>
      <c r="AA617" s="35"/>
      <c r="AB617" s="35"/>
    </row>
    <row r="618" spans="1:28" x14ac:dyDescent="0.2">
      <c r="A618" s="177"/>
      <c r="B618" s="186"/>
      <c r="C618" s="186"/>
      <c r="D618" s="186"/>
      <c r="E618" s="182"/>
      <c r="F618" s="182"/>
      <c r="G618" s="187"/>
      <c r="H618" s="187"/>
      <c r="I618" s="187"/>
      <c r="J618" s="182"/>
      <c r="K618" s="182"/>
      <c r="L618" s="187"/>
      <c r="M618" s="182"/>
      <c r="N618" s="182"/>
      <c r="O618" s="182"/>
      <c r="P618" s="182"/>
      <c r="Q618" s="182"/>
      <c r="R618" s="182"/>
      <c r="S618" s="182"/>
      <c r="T618" s="182"/>
      <c r="U618" s="182"/>
      <c r="AA618" s="35"/>
      <c r="AB618" s="35"/>
    </row>
    <row r="619" spans="1:28" x14ac:dyDescent="0.2">
      <c r="A619" s="177"/>
      <c r="B619" s="186"/>
      <c r="C619" s="186"/>
      <c r="D619" s="186"/>
      <c r="E619" s="182"/>
      <c r="F619" s="182"/>
      <c r="G619" s="187"/>
      <c r="H619" s="187"/>
      <c r="I619" s="187"/>
      <c r="J619" s="182"/>
      <c r="K619" s="182"/>
      <c r="L619" s="187"/>
      <c r="M619" s="182"/>
      <c r="N619" s="182"/>
      <c r="O619" s="182"/>
      <c r="P619" s="182"/>
      <c r="Q619" s="182"/>
      <c r="R619" s="182"/>
      <c r="S619" s="182"/>
      <c r="T619" s="182"/>
      <c r="U619" s="182"/>
      <c r="AA619" s="35"/>
      <c r="AB619" s="35"/>
    </row>
    <row r="620" spans="1:28" x14ac:dyDescent="0.2">
      <c r="A620" s="177"/>
      <c r="B620" s="186"/>
      <c r="C620" s="186"/>
      <c r="D620" s="186"/>
      <c r="E620" s="182"/>
      <c r="F620" s="182"/>
      <c r="G620" s="187"/>
      <c r="H620" s="187"/>
      <c r="I620" s="187"/>
      <c r="J620" s="182"/>
      <c r="K620" s="182"/>
      <c r="L620" s="187"/>
      <c r="M620" s="182"/>
      <c r="N620" s="182"/>
      <c r="O620" s="182"/>
      <c r="P620" s="182"/>
      <c r="Q620" s="182"/>
      <c r="R620" s="182"/>
      <c r="S620" s="182"/>
      <c r="T620" s="182"/>
      <c r="U620" s="182"/>
      <c r="AA620" s="35"/>
      <c r="AB620" s="35"/>
    </row>
    <row r="621" spans="1:28" x14ac:dyDescent="0.2">
      <c r="A621" s="177"/>
      <c r="B621" s="186"/>
      <c r="C621" s="186"/>
      <c r="D621" s="186"/>
      <c r="E621" s="182"/>
      <c r="F621" s="182"/>
      <c r="G621" s="187"/>
      <c r="H621" s="187"/>
      <c r="I621" s="187"/>
      <c r="J621" s="182"/>
      <c r="K621" s="182"/>
      <c r="L621" s="187"/>
      <c r="M621" s="182"/>
      <c r="N621" s="182"/>
      <c r="O621" s="182"/>
      <c r="P621" s="182"/>
      <c r="Q621" s="182"/>
      <c r="R621" s="182"/>
      <c r="S621" s="182"/>
      <c r="T621" s="182"/>
      <c r="U621" s="182"/>
      <c r="AA621" s="35"/>
      <c r="AB621" s="35"/>
    </row>
    <row r="622" spans="1:28" x14ac:dyDescent="0.2">
      <c r="A622" s="177"/>
      <c r="B622" s="186"/>
      <c r="C622" s="186"/>
      <c r="D622" s="186"/>
      <c r="E622" s="182"/>
      <c r="F622" s="182"/>
      <c r="G622" s="187"/>
      <c r="H622" s="187"/>
      <c r="I622" s="187"/>
      <c r="J622" s="182"/>
      <c r="K622" s="182"/>
      <c r="L622" s="187"/>
      <c r="M622" s="182"/>
      <c r="N622" s="182"/>
      <c r="O622" s="182"/>
      <c r="P622" s="182"/>
      <c r="Q622" s="182"/>
      <c r="R622" s="182"/>
      <c r="S622" s="182"/>
      <c r="T622" s="182"/>
      <c r="U622" s="182"/>
      <c r="AA622" s="35"/>
      <c r="AB622" s="35"/>
    </row>
    <row r="623" spans="1:28" x14ac:dyDescent="0.2">
      <c r="A623" s="177"/>
      <c r="B623" s="186"/>
      <c r="C623" s="186"/>
      <c r="D623" s="186"/>
      <c r="E623" s="182"/>
      <c r="F623" s="182"/>
      <c r="G623" s="187"/>
      <c r="H623" s="187"/>
      <c r="I623" s="187"/>
      <c r="J623" s="182"/>
      <c r="K623" s="182"/>
      <c r="L623" s="187"/>
      <c r="M623" s="182"/>
      <c r="N623" s="182"/>
      <c r="O623" s="182"/>
      <c r="P623" s="182"/>
      <c r="Q623" s="182"/>
      <c r="R623" s="182"/>
      <c r="S623" s="182"/>
      <c r="T623" s="182"/>
      <c r="U623" s="182"/>
      <c r="AA623" s="35"/>
      <c r="AB623" s="35"/>
    </row>
    <row r="624" spans="1:28" x14ac:dyDescent="0.2">
      <c r="A624" s="177"/>
      <c r="B624" s="186"/>
      <c r="C624" s="186"/>
      <c r="D624" s="186"/>
      <c r="E624" s="182"/>
      <c r="F624" s="182"/>
      <c r="G624" s="187"/>
      <c r="H624" s="187"/>
      <c r="I624" s="187"/>
      <c r="J624" s="182"/>
      <c r="K624" s="182"/>
      <c r="L624" s="187"/>
      <c r="M624" s="182"/>
      <c r="N624" s="182"/>
      <c r="O624" s="182"/>
      <c r="P624" s="182"/>
      <c r="Q624" s="182"/>
      <c r="R624" s="182"/>
      <c r="S624" s="182"/>
      <c r="T624" s="182"/>
      <c r="U624" s="182"/>
      <c r="AA624" s="35"/>
      <c r="AB624" s="35"/>
    </row>
    <row r="625" spans="1:28" x14ac:dyDescent="0.2">
      <c r="A625" s="177"/>
      <c r="B625" s="186"/>
      <c r="C625" s="186"/>
      <c r="D625" s="186"/>
      <c r="E625" s="182"/>
      <c r="F625" s="182"/>
      <c r="G625" s="187"/>
      <c r="H625" s="187"/>
      <c r="I625" s="187"/>
      <c r="J625" s="182"/>
      <c r="K625" s="182"/>
      <c r="L625" s="187"/>
      <c r="M625" s="182"/>
      <c r="N625" s="182"/>
      <c r="O625" s="182"/>
      <c r="P625" s="182"/>
      <c r="Q625" s="182"/>
      <c r="R625" s="182"/>
      <c r="S625" s="182"/>
      <c r="T625" s="182"/>
      <c r="U625" s="182"/>
      <c r="AA625" s="35"/>
      <c r="AB625" s="35"/>
    </row>
    <row r="626" spans="1:28" x14ac:dyDescent="0.2">
      <c r="A626" s="177"/>
      <c r="B626" s="186"/>
      <c r="C626" s="186"/>
      <c r="D626" s="186"/>
      <c r="E626" s="182"/>
      <c r="F626" s="182"/>
      <c r="G626" s="187"/>
      <c r="H626" s="187"/>
      <c r="I626" s="187"/>
      <c r="J626" s="182"/>
      <c r="K626" s="182"/>
      <c r="L626" s="187"/>
      <c r="M626" s="182"/>
      <c r="N626" s="182"/>
      <c r="O626" s="182"/>
      <c r="P626" s="182"/>
      <c r="Q626" s="182"/>
      <c r="R626" s="182"/>
      <c r="S626" s="182"/>
      <c r="T626" s="182"/>
      <c r="U626" s="182"/>
      <c r="AA626" s="35"/>
      <c r="AB626" s="35"/>
    </row>
    <row r="627" spans="1:28" x14ac:dyDescent="0.2">
      <c r="A627" s="177"/>
      <c r="B627" s="186"/>
      <c r="C627" s="186"/>
      <c r="D627" s="186"/>
      <c r="E627" s="182"/>
      <c r="F627" s="182"/>
      <c r="G627" s="187"/>
      <c r="H627" s="187"/>
      <c r="I627" s="187"/>
      <c r="J627" s="182"/>
      <c r="K627" s="182"/>
      <c r="L627" s="187"/>
      <c r="M627" s="182"/>
      <c r="N627" s="182"/>
      <c r="O627" s="182"/>
      <c r="P627" s="182"/>
      <c r="Q627" s="182"/>
      <c r="R627" s="182"/>
      <c r="S627" s="182"/>
      <c r="T627" s="182"/>
      <c r="U627" s="182"/>
      <c r="AA627" s="35"/>
      <c r="AB627" s="35"/>
    </row>
    <row r="628" spans="1:28" x14ac:dyDescent="0.2">
      <c r="A628" s="177"/>
      <c r="B628" s="186"/>
      <c r="C628" s="186"/>
      <c r="D628" s="186"/>
      <c r="E628" s="182"/>
      <c r="F628" s="182"/>
      <c r="G628" s="187"/>
      <c r="H628" s="187"/>
      <c r="I628" s="187"/>
      <c r="J628" s="182"/>
      <c r="K628" s="182"/>
      <c r="L628" s="187"/>
      <c r="M628" s="182"/>
      <c r="N628" s="182"/>
      <c r="O628" s="182"/>
      <c r="P628" s="182"/>
      <c r="Q628" s="182"/>
      <c r="R628" s="182"/>
      <c r="S628" s="182"/>
      <c r="T628" s="182"/>
      <c r="U628" s="182"/>
      <c r="AA628" s="35"/>
      <c r="AB628" s="35"/>
    </row>
    <row r="629" spans="1:28" x14ac:dyDescent="0.2">
      <c r="A629" s="177"/>
      <c r="B629" s="186"/>
      <c r="C629" s="186"/>
      <c r="D629" s="186"/>
      <c r="E629" s="182"/>
      <c r="F629" s="182"/>
      <c r="G629" s="187"/>
      <c r="H629" s="187"/>
      <c r="I629" s="187"/>
      <c r="J629" s="182"/>
      <c r="K629" s="182"/>
      <c r="L629" s="187"/>
      <c r="M629" s="182"/>
      <c r="N629" s="182"/>
      <c r="O629" s="182"/>
      <c r="P629" s="182"/>
      <c r="Q629" s="182"/>
      <c r="R629" s="182"/>
      <c r="S629" s="182"/>
      <c r="T629" s="182"/>
      <c r="U629" s="182"/>
      <c r="AA629" s="35"/>
      <c r="AB629" s="35"/>
    </row>
    <row r="630" spans="1:28" x14ac:dyDescent="0.2">
      <c r="A630" s="177"/>
      <c r="B630" s="186"/>
      <c r="C630" s="186"/>
      <c r="D630" s="186"/>
      <c r="E630" s="182"/>
      <c r="F630" s="182"/>
      <c r="G630" s="187"/>
      <c r="H630" s="187"/>
      <c r="I630" s="187"/>
      <c r="J630" s="182"/>
      <c r="K630" s="182"/>
      <c r="L630" s="187"/>
      <c r="M630" s="182"/>
      <c r="N630" s="182"/>
      <c r="O630" s="182"/>
      <c r="P630" s="182"/>
      <c r="Q630" s="182"/>
      <c r="R630" s="182"/>
      <c r="S630" s="182"/>
      <c r="T630" s="182"/>
      <c r="U630" s="182"/>
      <c r="AA630" s="35"/>
      <c r="AB630" s="35"/>
    </row>
    <row r="631" spans="1:28" x14ac:dyDescent="0.2">
      <c r="A631" s="177"/>
      <c r="B631" s="186"/>
      <c r="C631" s="186"/>
      <c r="D631" s="186"/>
      <c r="E631" s="182"/>
      <c r="F631" s="182"/>
      <c r="G631" s="187"/>
      <c r="H631" s="187"/>
      <c r="I631" s="187"/>
      <c r="J631" s="182"/>
      <c r="K631" s="182"/>
      <c r="L631" s="187"/>
      <c r="M631" s="182"/>
      <c r="N631" s="182"/>
      <c r="O631" s="182"/>
      <c r="P631" s="182"/>
      <c r="Q631" s="182"/>
      <c r="R631" s="182"/>
      <c r="S631" s="182"/>
      <c r="T631" s="182"/>
      <c r="U631" s="182"/>
      <c r="AA631" s="35"/>
      <c r="AB631" s="35"/>
    </row>
    <row r="632" spans="1:28" x14ac:dyDescent="0.2">
      <c r="A632" s="177"/>
      <c r="B632" s="186"/>
      <c r="C632" s="186"/>
      <c r="D632" s="186"/>
      <c r="E632" s="182"/>
      <c r="F632" s="182"/>
      <c r="G632" s="187"/>
      <c r="H632" s="187"/>
      <c r="I632" s="187"/>
      <c r="J632" s="182"/>
      <c r="K632" s="182"/>
      <c r="L632" s="187"/>
      <c r="M632" s="182"/>
      <c r="N632" s="182"/>
      <c r="O632" s="182"/>
      <c r="P632" s="182"/>
      <c r="Q632" s="182"/>
      <c r="R632" s="182"/>
      <c r="S632" s="182"/>
      <c r="T632" s="182"/>
      <c r="U632" s="182"/>
      <c r="AA632" s="35"/>
      <c r="AB632" s="35"/>
    </row>
    <row r="633" spans="1:28" x14ac:dyDescent="0.2">
      <c r="A633" s="177"/>
      <c r="B633" s="186"/>
      <c r="C633" s="186"/>
      <c r="D633" s="186"/>
      <c r="E633" s="182"/>
      <c r="F633" s="182"/>
      <c r="G633" s="187"/>
      <c r="H633" s="187"/>
      <c r="I633" s="187"/>
      <c r="J633" s="182"/>
      <c r="K633" s="182"/>
      <c r="L633" s="187"/>
      <c r="M633" s="182"/>
      <c r="N633" s="182"/>
      <c r="O633" s="182"/>
      <c r="P633" s="182"/>
      <c r="Q633" s="182"/>
      <c r="R633" s="182"/>
      <c r="S633" s="182"/>
      <c r="T633" s="182"/>
      <c r="U633" s="182"/>
      <c r="AA633" s="35"/>
      <c r="AB633" s="35"/>
    </row>
    <row r="634" spans="1:28" x14ac:dyDescent="0.2">
      <c r="A634" s="177"/>
      <c r="B634" s="186"/>
      <c r="C634" s="186"/>
      <c r="D634" s="186"/>
      <c r="E634" s="182"/>
      <c r="F634" s="182"/>
      <c r="G634" s="187"/>
      <c r="H634" s="187"/>
      <c r="I634" s="187"/>
      <c r="J634" s="182"/>
      <c r="K634" s="182"/>
      <c r="L634" s="187"/>
      <c r="M634" s="182"/>
      <c r="N634" s="182"/>
      <c r="O634" s="182"/>
      <c r="P634" s="182"/>
      <c r="Q634" s="182"/>
      <c r="R634" s="182"/>
      <c r="S634" s="182"/>
      <c r="T634" s="182"/>
      <c r="U634" s="182"/>
      <c r="AA634" s="35"/>
      <c r="AB634" s="35"/>
    </row>
    <row r="635" spans="1:28" x14ac:dyDescent="0.2">
      <c r="A635" s="177"/>
      <c r="B635" s="186"/>
      <c r="C635" s="186"/>
      <c r="D635" s="186"/>
      <c r="E635" s="182"/>
      <c r="F635" s="182"/>
      <c r="G635" s="187"/>
      <c r="H635" s="187"/>
      <c r="I635" s="187"/>
      <c r="J635" s="182"/>
      <c r="K635" s="182"/>
      <c r="L635" s="187"/>
      <c r="M635" s="182"/>
      <c r="N635" s="182"/>
      <c r="O635" s="182"/>
      <c r="P635" s="182"/>
      <c r="Q635" s="182"/>
      <c r="R635" s="182"/>
      <c r="S635" s="182"/>
      <c r="T635" s="182"/>
      <c r="U635" s="182"/>
      <c r="AA635" s="35"/>
      <c r="AB635" s="35"/>
    </row>
    <row r="636" spans="1:28" x14ac:dyDescent="0.2">
      <c r="A636" s="177"/>
      <c r="B636" s="186"/>
      <c r="C636" s="186"/>
      <c r="D636" s="186"/>
      <c r="E636" s="182"/>
      <c r="F636" s="182"/>
      <c r="G636" s="187"/>
      <c r="H636" s="187"/>
      <c r="I636" s="187"/>
      <c r="J636" s="182"/>
      <c r="K636" s="182"/>
      <c r="L636" s="187"/>
      <c r="M636" s="182"/>
      <c r="N636" s="182"/>
      <c r="O636" s="182"/>
      <c r="P636" s="182"/>
      <c r="Q636" s="182"/>
      <c r="R636" s="182"/>
      <c r="S636" s="182"/>
      <c r="T636" s="182"/>
      <c r="U636" s="182"/>
      <c r="AA636" s="35"/>
      <c r="AB636" s="35"/>
    </row>
    <row r="637" spans="1:28" x14ac:dyDescent="0.2">
      <c r="A637" s="177"/>
      <c r="B637" s="186"/>
      <c r="C637" s="186"/>
      <c r="D637" s="186"/>
      <c r="E637" s="182"/>
      <c r="F637" s="182"/>
      <c r="G637" s="187"/>
      <c r="H637" s="187"/>
      <c r="I637" s="187"/>
      <c r="J637" s="182"/>
      <c r="K637" s="182"/>
      <c r="L637" s="187"/>
      <c r="M637" s="182"/>
      <c r="N637" s="182"/>
      <c r="O637" s="182"/>
      <c r="P637" s="182"/>
      <c r="Q637" s="182"/>
      <c r="R637" s="182"/>
      <c r="S637" s="182"/>
      <c r="T637" s="182"/>
      <c r="U637" s="182"/>
      <c r="AA637" s="35"/>
      <c r="AB637" s="35"/>
    </row>
    <row r="638" spans="1:28" x14ac:dyDescent="0.2">
      <c r="A638" s="177"/>
      <c r="B638" s="186"/>
      <c r="C638" s="186"/>
      <c r="D638" s="186"/>
      <c r="E638" s="182"/>
      <c r="F638" s="182"/>
      <c r="G638" s="187"/>
      <c r="H638" s="187"/>
      <c r="I638" s="187"/>
      <c r="J638" s="182"/>
      <c r="K638" s="182"/>
      <c r="L638" s="187"/>
      <c r="M638" s="182"/>
      <c r="N638" s="182"/>
      <c r="O638" s="182"/>
      <c r="P638" s="182"/>
      <c r="Q638" s="182"/>
      <c r="R638" s="182"/>
      <c r="S638" s="182"/>
      <c r="T638" s="182"/>
      <c r="U638" s="182"/>
      <c r="AA638" s="35"/>
      <c r="AB638" s="35"/>
    </row>
    <row r="639" spans="1:28" x14ac:dyDescent="0.2">
      <c r="A639" s="177"/>
      <c r="B639" s="186"/>
      <c r="C639" s="186"/>
      <c r="D639" s="186"/>
      <c r="E639" s="182"/>
      <c r="F639" s="182"/>
      <c r="G639" s="187"/>
      <c r="H639" s="187"/>
      <c r="I639" s="187"/>
      <c r="J639" s="182"/>
      <c r="K639" s="182"/>
      <c r="L639" s="187"/>
      <c r="M639" s="182"/>
      <c r="N639" s="182"/>
      <c r="O639" s="182"/>
      <c r="P639" s="182"/>
      <c r="Q639" s="182"/>
      <c r="R639" s="182"/>
      <c r="S639" s="182"/>
      <c r="T639" s="182"/>
      <c r="U639" s="182"/>
      <c r="AA639" s="35"/>
      <c r="AB639" s="35"/>
    </row>
    <row r="640" spans="1:28" x14ac:dyDescent="0.2">
      <c r="A640" s="177"/>
      <c r="B640" s="186"/>
      <c r="C640" s="186"/>
      <c r="D640" s="186"/>
      <c r="E640" s="182"/>
      <c r="F640" s="182"/>
      <c r="G640" s="187"/>
      <c r="H640" s="187"/>
      <c r="I640" s="187"/>
      <c r="J640" s="182"/>
      <c r="K640" s="182"/>
      <c r="L640" s="187"/>
      <c r="M640" s="182"/>
      <c r="N640" s="182"/>
      <c r="O640" s="182"/>
      <c r="P640" s="182"/>
      <c r="Q640" s="182"/>
      <c r="R640" s="182"/>
      <c r="S640" s="182"/>
      <c r="T640" s="182"/>
      <c r="U640" s="182"/>
      <c r="AA640" s="35"/>
      <c r="AB640" s="35"/>
    </row>
    <row r="641" spans="1:28" x14ac:dyDescent="0.2">
      <c r="A641" s="177"/>
      <c r="B641" s="186"/>
      <c r="C641" s="186"/>
      <c r="D641" s="186"/>
      <c r="E641" s="182"/>
      <c r="F641" s="182"/>
      <c r="G641" s="187"/>
      <c r="H641" s="187"/>
      <c r="I641" s="187"/>
      <c r="J641" s="182"/>
      <c r="K641" s="182"/>
      <c r="L641" s="187"/>
      <c r="M641" s="182"/>
      <c r="N641" s="182"/>
      <c r="O641" s="182"/>
      <c r="P641" s="182"/>
      <c r="Q641" s="182"/>
      <c r="R641" s="182"/>
      <c r="S641" s="182"/>
      <c r="T641" s="182"/>
      <c r="U641" s="182"/>
      <c r="AA641" s="35"/>
      <c r="AB641" s="35"/>
    </row>
    <row r="642" spans="1:28" x14ac:dyDescent="0.2">
      <c r="A642" s="177"/>
      <c r="B642" s="186"/>
      <c r="C642" s="186"/>
      <c r="D642" s="186"/>
      <c r="E642" s="182"/>
      <c r="F642" s="182"/>
      <c r="G642" s="187"/>
      <c r="H642" s="187"/>
      <c r="I642" s="187"/>
      <c r="J642" s="182"/>
      <c r="K642" s="182"/>
      <c r="L642" s="187"/>
      <c r="M642" s="182"/>
      <c r="N642" s="182"/>
      <c r="O642" s="182"/>
      <c r="P642" s="182"/>
      <c r="Q642" s="182"/>
      <c r="R642" s="182"/>
      <c r="S642" s="182"/>
      <c r="T642" s="182"/>
      <c r="U642" s="182"/>
      <c r="AA642" s="35"/>
      <c r="AB642" s="35"/>
    </row>
    <row r="643" spans="1:28" x14ac:dyDescent="0.2">
      <c r="A643" s="177"/>
      <c r="B643" s="186"/>
      <c r="C643" s="186"/>
      <c r="D643" s="186"/>
      <c r="E643" s="182"/>
      <c r="F643" s="182"/>
      <c r="G643" s="187"/>
      <c r="H643" s="187"/>
      <c r="I643" s="187"/>
      <c r="J643" s="182"/>
      <c r="K643" s="182"/>
      <c r="L643" s="187"/>
      <c r="M643" s="182"/>
      <c r="N643" s="182"/>
      <c r="O643" s="182"/>
      <c r="P643" s="182"/>
      <c r="Q643" s="182"/>
      <c r="R643" s="182"/>
      <c r="S643" s="182"/>
      <c r="T643" s="182"/>
      <c r="U643" s="182"/>
      <c r="AA643" s="35"/>
      <c r="AB643" s="35"/>
    </row>
    <row r="644" spans="1:28" x14ac:dyDescent="0.2">
      <c r="A644" s="177"/>
      <c r="B644" s="186"/>
      <c r="C644" s="186"/>
      <c r="D644" s="186"/>
      <c r="E644" s="182"/>
      <c r="F644" s="182"/>
      <c r="G644" s="187"/>
      <c r="H644" s="187"/>
      <c r="I644" s="187"/>
      <c r="J644" s="182"/>
      <c r="K644" s="182"/>
      <c r="L644" s="187"/>
      <c r="M644" s="182"/>
      <c r="N644" s="182"/>
      <c r="O644" s="182"/>
      <c r="P644" s="182"/>
      <c r="Q644" s="182"/>
      <c r="R644" s="182"/>
      <c r="S644" s="182"/>
      <c r="T644" s="182"/>
      <c r="U644" s="182"/>
      <c r="AA644" s="35"/>
      <c r="AB644" s="35"/>
    </row>
    <row r="645" spans="1:28" x14ac:dyDescent="0.2">
      <c r="A645" s="177"/>
      <c r="B645" s="186"/>
      <c r="C645" s="186"/>
      <c r="D645" s="186"/>
      <c r="E645" s="182"/>
      <c r="F645" s="182"/>
      <c r="G645" s="187"/>
      <c r="H645" s="187"/>
      <c r="I645" s="187"/>
      <c r="J645" s="182"/>
      <c r="K645" s="182"/>
      <c r="L645" s="187"/>
      <c r="M645" s="182"/>
      <c r="N645" s="182"/>
      <c r="O645" s="182"/>
      <c r="P645" s="182"/>
      <c r="Q645" s="182"/>
      <c r="R645" s="182"/>
      <c r="S645" s="182"/>
      <c r="T645" s="182"/>
      <c r="U645" s="182"/>
      <c r="AA645" s="35"/>
      <c r="AB645" s="35"/>
    </row>
    <row r="646" spans="1:28" x14ac:dyDescent="0.2">
      <c r="A646" s="177"/>
      <c r="B646" s="186"/>
      <c r="C646" s="186"/>
      <c r="D646" s="186"/>
      <c r="E646" s="182"/>
      <c r="F646" s="182"/>
      <c r="G646" s="187"/>
      <c r="H646" s="187"/>
      <c r="I646" s="187"/>
      <c r="J646" s="182"/>
      <c r="K646" s="182"/>
      <c r="L646" s="187"/>
      <c r="M646" s="182"/>
      <c r="N646" s="182"/>
      <c r="O646" s="182"/>
      <c r="P646" s="182"/>
      <c r="Q646" s="182"/>
      <c r="R646" s="182"/>
      <c r="S646" s="182"/>
      <c r="T646" s="182"/>
      <c r="U646" s="182"/>
      <c r="AA646" s="35"/>
      <c r="AB646" s="35"/>
    </row>
    <row r="647" spans="1:28" x14ac:dyDescent="0.2">
      <c r="A647" s="177"/>
      <c r="B647" s="186"/>
      <c r="C647" s="186"/>
      <c r="D647" s="186"/>
      <c r="E647" s="182"/>
      <c r="F647" s="182"/>
      <c r="G647" s="187"/>
      <c r="H647" s="187"/>
      <c r="I647" s="187"/>
      <c r="J647" s="182"/>
      <c r="K647" s="182"/>
      <c r="L647" s="187"/>
      <c r="M647" s="182"/>
      <c r="N647" s="182"/>
      <c r="O647" s="182"/>
      <c r="P647" s="182"/>
      <c r="Q647" s="182"/>
      <c r="R647" s="182"/>
      <c r="S647" s="182"/>
      <c r="T647" s="182"/>
      <c r="U647" s="182"/>
      <c r="AA647" s="35"/>
      <c r="AB647" s="35"/>
    </row>
    <row r="648" spans="1:28" x14ac:dyDescent="0.2">
      <c r="A648" s="177"/>
      <c r="B648" s="186"/>
      <c r="C648" s="186"/>
      <c r="D648" s="186"/>
      <c r="E648" s="182"/>
      <c r="F648" s="182"/>
      <c r="G648" s="187"/>
      <c r="H648" s="187"/>
      <c r="I648" s="187"/>
      <c r="J648" s="182"/>
      <c r="K648" s="182"/>
      <c r="L648" s="187"/>
      <c r="M648" s="182"/>
      <c r="N648" s="182"/>
      <c r="O648" s="182"/>
      <c r="P648" s="182"/>
      <c r="Q648" s="182"/>
      <c r="R648" s="182"/>
      <c r="S648" s="182"/>
      <c r="T648" s="182"/>
      <c r="U648" s="182"/>
      <c r="AA648" s="35"/>
      <c r="AB648" s="35"/>
    </row>
    <row r="649" spans="1:28" x14ac:dyDescent="0.2">
      <c r="A649" s="177"/>
      <c r="B649" s="186"/>
      <c r="C649" s="186"/>
      <c r="D649" s="186"/>
      <c r="E649" s="182"/>
      <c r="F649" s="182"/>
      <c r="G649" s="187"/>
      <c r="H649" s="187"/>
      <c r="I649" s="187"/>
      <c r="J649" s="182"/>
      <c r="K649" s="182"/>
      <c r="L649" s="187"/>
      <c r="M649" s="182"/>
      <c r="N649" s="182"/>
      <c r="O649" s="182"/>
      <c r="P649" s="182"/>
      <c r="Q649" s="182"/>
      <c r="R649" s="182"/>
      <c r="S649" s="182"/>
      <c r="T649" s="182"/>
      <c r="U649" s="182"/>
      <c r="AA649" s="35"/>
      <c r="AB649" s="35"/>
    </row>
    <row r="650" spans="1:28" x14ac:dyDescent="0.2">
      <c r="A650" s="177"/>
      <c r="B650" s="186"/>
      <c r="C650" s="186"/>
      <c r="D650" s="186"/>
      <c r="E650" s="182"/>
      <c r="F650" s="182"/>
      <c r="G650" s="187"/>
      <c r="H650" s="187"/>
      <c r="I650" s="187"/>
      <c r="J650" s="182"/>
      <c r="K650" s="182"/>
      <c r="L650" s="187"/>
      <c r="M650" s="182"/>
      <c r="N650" s="182"/>
      <c r="O650" s="182"/>
      <c r="P650" s="182"/>
      <c r="Q650" s="182"/>
      <c r="R650" s="182"/>
      <c r="S650" s="182"/>
      <c r="T650" s="182"/>
      <c r="U650" s="182"/>
      <c r="AA650" s="35"/>
      <c r="AB650" s="35"/>
    </row>
    <row r="651" spans="1:28" x14ac:dyDescent="0.2">
      <c r="A651" s="177"/>
      <c r="B651" s="186"/>
      <c r="C651" s="186"/>
      <c r="D651" s="186"/>
      <c r="E651" s="182"/>
      <c r="F651" s="182"/>
      <c r="G651" s="187"/>
      <c r="H651" s="187"/>
      <c r="I651" s="187"/>
      <c r="J651" s="182"/>
      <c r="K651" s="182"/>
      <c r="L651" s="187"/>
      <c r="M651" s="182"/>
      <c r="N651" s="182"/>
      <c r="O651" s="182"/>
      <c r="P651" s="182"/>
      <c r="Q651" s="182"/>
      <c r="R651" s="182"/>
      <c r="S651" s="182"/>
      <c r="T651" s="182"/>
      <c r="U651" s="182"/>
      <c r="AA651" s="35"/>
      <c r="AB651" s="35"/>
    </row>
    <row r="652" spans="1:28" x14ac:dyDescent="0.2">
      <c r="A652" s="177"/>
      <c r="B652" s="186"/>
      <c r="C652" s="186"/>
      <c r="D652" s="186"/>
      <c r="E652" s="182"/>
      <c r="F652" s="182"/>
      <c r="G652" s="187"/>
      <c r="H652" s="187"/>
      <c r="I652" s="187"/>
      <c r="J652" s="182"/>
      <c r="K652" s="182"/>
      <c r="L652" s="187"/>
      <c r="M652" s="182"/>
      <c r="N652" s="182"/>
      <c r="O652" s="182"/>
      <c r="P652" s="182"/>
      <c r="Q652" s="182"/>
      <c r="R652" s="182"/>
      <c r="S652" s="182"/>
      <c r="T652" s="182"/>
      <c r="U652" s="182"/>
      <c r="AA652" s="35"/>
      <c r="AB652" s="35"/>
    </row>
    <row r="653" spans="1:28" x14ac:dyDescent="0.2">
      <c r="A653" s="177"/>
      <c r="B653" s="186"/>
      <c r="C653" s="186"/>
      <c r="D653" s="186"/>
      <c r="E653" s="182"/>
      <c r="F653" s="182"/>
      <c r="G653" s="187"/>
      <c r="H653" s="187"/>
      <c r="I653" s="187"/>
      <c r="J653" s="182"/>
      <c r="K653" s="182"/>
      <c r="L653" s="187"/>
      <c r="M653" s="182"/>
      <c r="N653" s="182"/>
      <c r="O653" s="182"/>
      <c r="P653" s="182"/>
      <c r="Q653" s="182"/>
      <c r="R653" s="182"/>
      <c r="S653" s="182"/>
      <c r="T653" s="182"/>
      <c r="U653" s="182"/>
      <c r="AA653" s="35"/>
      <c r="AB653" s="35"/>
    </row>
    <row r="654" spans="1:28" x14ac:dyDescent="0.2">
      <c r="A654" s="177"/>
      <c r="B654" s="186"/>
      <c r="C654" s="186"/>
      <c r="D654" s="186"/>
      <c r="E654" s="182"/>
      <c r="F654" s="182"/>
      <c r="G654" s="187"/>
      <c r="H654" s="187"/>
      <c r="I654" s="187"/>
      <c r="J654" s="182"/>
      <c r="K654" s="182"/>
      <c r="L654" s="187"/>
      <c r="M654" s="182"/>
      <c r="N654" s="182"/>
      <c r="O654" s="182"/>
      <c r="P654" s="182"/>
      <c r="Q654" s="182"/>
      <c r="R654" s="182"/>
      <c r="S654" s="182"/>
      <c r="T654" s="182"/>
      <c r="U654" s="182"/>
      <c r="AA654" s="35"/>
      <c r="AB654" s="35"/>
    </row>
    <row r="655" spans="1:28" x14ac:dyDescent="0.2">
      <c r="A655" s="177"/>
      <c r="B655" s="186"/>
      <c r="C655" s="186"/>
      <c r="D655" s="186"/>
      <c r="E655" s="182"/>
      <c r="F655" s="182"/>
      <c r="G655" s="187"/>
      <c r="H655" s="187"/>
      <c r="I655" s="187"/>
      <c r="J655" s="182"/>
      <c r="K655" s="182"/>
      <c r="L655" s="187"/>
      <c r="M655" s="182"/>
      <c r="N655" s="182"/>
      <c r="O655" s="182"/>
      <c r="P655" s="182"/>
      <c r="Q655" s="182"/>
      <c r="R655" s="182"/>
      <c r="S655" s="182"/>
      <c r="T655" s="182"/>
      <c r="U655" s="182"/>
      <c r="AA655" s="35"/>
      <c r="AB655" s="35"/>
    </row>
    <row r="656" spans="1:28" x14ac:dyDescent="0.2">
      <c r="A656" s="177"/>
      <c r="B656" s="186"/>
      <c r="C656" s="186"/>
      <c r="D656" s="186"/>
      <c r="E656" s="182"/>
      <c r="F656" s="182"/>
      <c r="G656" s="187"/>
      <c r="H656" s="187"/>
      <c r="I656" s="187"/>
      <c r="J656" s="182"/>
      <c r="K656" s="182"/>
      <c r="L656" s="187"/>
      <c r="M656" s="182"/>
      <c r="N656" s="182"/>
      <c r="O656" s="182"/>
      <c r="P656" s="182"/>
      <c r="Q656" s="182"/>
      <c r="R656" s="182"/>
      <c r="S656" s="182"/>
      <c r="T656" s="182"/>
      <c r="U656" s="182"/>
      <c r="AA656" s="35"/>
      <c r="AB656" s="35"/>
    </row>
    <row r="657" spans="1:28" x14ac:dyDescent="0.2">
      <c r="A657" s="177"/>
      <c r="B657" s="186"/>
      <c r="C657" s="186"/>
      <c r="D657" s="186"/>
      <c r="E657" s="182"/>
      <c r="F657" s="182"/>
      <c r="G657" s="187"/>
      <c r="H657" s="187"/>
      <c r="I657" s="187"/>
      <c r="J657" s="182"/>
      <c r="K657" s="182"/>
      <c r="L657" s="187"/>
      <c r="M657" s="182"/>
      <c r="N657" s="182"/>
      <c r="O657" s="182"/>
      <c r="P657" s="182"/>
      <c r="Q657" s="182"/>
      <c r="R657" s="182"/>
      <c r="S657" s="182"/>
      <c r="T657" s="182"/>
      <c r="U657" s="182"/>
      <c r="AA657" s="35"/>
      <c r="AB657" s="35"/>
    </row>
    <row r="658" spans="1:28" x14ac:dyDescent="0.2">
      <c r="A658" s="177"/>
      <c r="B658" s="186"/>
      <c r="C658" s="186"/>
      <c r="D658" s="186"/>
      <c r="E658" s="182"/>
      <c r="F658" s="182"/>
      <c r="G658" s="187"/>
      <c r="H658" s="187"/>
      <c r="I658" s="187"/>
      <c r="J658" s="182"/>
      <c r="K658" s="182"/>
      <c r="L658" s="187"/>
      <c r="M658" s="182"/>
      <c r="N658" s="182"/>
      <c r="O658" s="182"/>
      <c r="P658" s="182"/>
      <c r="Q658" s="182"/>
      <c r="R658" s="182"/>
      <c r="S658" s="182"/>
      <c r="T658" s="182"/>
      <c r="U658" s="182"/>
      <c r="AA658" s="35"/>
      <c r="AB658" s="35"/>
    </row>
    <row r="659" spans="1:28" x14ac:dyDescent="0.2">
      <c r="A659" s="177"/>
      <c r="B659" s="186"/>
      <c r="C659" s="186"/>
      <c r="D659" s="186"/>
      <c r="E659" s="182"/>
      <c r="F659" s="182"/>
      <c r="G659" s="187"/>
      <c r="H659" s="187"/>
      <c r="I659" s="187"/>
      <c r="J659" s="182"/>
      <c r="K659" s="182"/>
      <c r="L659" s="187"/>
      <c r="M659" s="182"/>
      <c r="N659" s="182"/>
      <c r="O659" s="182"/>
      <c r="P659" s="182"/>
      <c r="Q659" s="182"/>
      <c r="R659" s="182"/>
      <c r="S659" s="182"/>
      <c r="T659" s="182"/>
      <c r="U659" s="182"/>
      <c r="AA659" s="35"/>
      <c r="AB659" s="35"/>
    </row>
    <row r="660" spans="1:28" x14ac:dyDescent="0.2">
      <c r="A660" s="177"/>
      <c r="B660" s="186"/>
      <c r="C660" s="186"/>
      <c r="D660" s="186"/>
      <c r="E660" s="182"/>
      <c r="F660" s="182"/>
      <c r="G660" s="187"/>
      <c r="H660" s="187"/>
      <c r="I660" s="187"/>
      <c r="J660" s="182"/>
      <c r="K660" s="182"/>
      <c r="L660" s="187"/>
      <c r="M660" s="182"/>
      <c r="N660" s="182"/>
      <c r="O660" s="182"/>
      <c r="P660" s="182"/>
      <c r="Q660" s="182"/>
      <c r="R660" s="182"/>
      <c r="S660" s="182"/>
      <c r="T660" s="182"/>
      <c r="U660" s="182"/>
      <c r="AA660" s="35"/>
      <c r="AB660" s="35"/>
    </row>
    <row r="661" spans="1:28" x14ac:dyDescent="0.2">
      <c r="A661" s="177"/>
      <c r="B661" s="186"/>
      <c r="C661" s="186"/>
      <c r="D661" s="186"/>
      <c r="E661" s="182"/>
      <c r="F661" s="182"/>
      <c r="G661" s="187"/>
      <c r="H661" s="187"/>
      <c r="I661" s="187"/>
      <c r="J661" s="182"/>
      <c r="K661" s="182"/>
      <c r="L661" s="187"/>
      <c r="M661" s="182"/>
      <c r="N661" s="182"/>
      <c r="O661" s="182"/>
      <c r="P661" s="182"/>
      <c r="Q661" s="182"/>
      <c r="R661" s="182"/>
      <c r="S661" s="182"/>
      <c r="T661" s="182"/>
      <c r="U661" s="182"/>
      <c r="AA661" s="35"/>
      <c r="AB661" s="35"/>
    </row>
    <row r="662" spans="1:28" x14ac:dyDescent="0.2">
      <c r="A662" s="177"/>
      <c r="B662" s="186"/>
      <c r="C662" s="186"/>
      <c r="D662" s="186"/>
      <c r="E662" s="182"/>
      <c r="F662" s="182"/>
      <c r="G662" s="187"/>
      <c r="H662" s="187"/>
      <c r="I662" s="187"/>
      <c r="J662" s="182"/>
      <c r="K662" s="182"/>
      <c r="L662" s="187"/>
      <c r="M662" s="182"/>
      <c r="N662" s="182"/>
      <c r="O662" s="182"/>
      <c r="P662" s="182"/>
      <c r="Q662" s="182"/>
      <c r="R662" s="182"/>
      <c r="S662" s="182"/>
      <c r="T662" s="182"/>
      <c r="U662" s="182"/>
      <c r="AA662" s="35"/>
      <c r="AB662" s="35"/>
    </row>
    <row r="663" spans="1:28" x14ac:dyDescent="0.2">
      <c r="A663" s="177"/>
      <c r="B663" s="186"/>
      <c r="C663" s="186"/>
      <c r="D663" s="186"/>
      <c r="E663" s="182"/>
      <c r="F663" s="182"/>
      <c r="G663" s="187"/>
      <c r="H663" s="187"/>
      <c r="I663" s="187"/>
      <c r="J663" s="182"/>
      <c r="K663" s="182"/>
      <c r="L663" s="187"/>
      <c r="M663" s="182"/>
      <c r="N663" s="182"/>
      <c r="O663" s="182"/>
      <c r="P663" s="182"/>
      <c r="Q663" s="182"/>
      <c r="R663" s="182"/>
      <c r="S663" s="182"/>
      <c r="T663" s="182"/>
      <c r="U663" s="182"/>
      <c r="AA663" s="35"/>
      <c r="AB663" s="35"/>
    </row>
    <row r="664" spans="1:28" x14ac:dyDescent="0.2">
      <c r="A664" s="177"/>
      <c r="B664" s="186"/>
      <c r="C664" s="186"/>
      <c r="D664" s="186"/>
      <c r="E664" s="182"/>
      <c r="F664" s="182"/>
      <c r="G664" s="187"/>
      <c r="H664" s="187"/>
      <c r="I664" s="187"/>
      <c r="J664" s="182"/>
      <c r="K664" s="182"/>
      <c r="L664" s="187"/>
      <c r="M664" s="182"/>
      <c r="N664" s="182"/>
      <c r="O664" s="182"/>
      <c r="P664" s="182"/>
      <c r="Q664" s="182"/>
      <c r="R664" s="182"/>
      <c r="S664" s="182"/>
      <c r="T664" s="182"/>
      <c r="U664" s="182"/>
      <c r="AA664" s="35"/>
      <c r="AB664" s="35"/>
    </row>
    <row r="665" spans="1:28" x14ac:dyDescent="0.2">
      <c r="A665" s="177"/>
      <c r="B665" s="186"/>
      <c r="C665" s="186"/>
      <c r="D665" s="186"/>
      <c r="E665" s="182"/>
      <c r="F665" s="182"/>
      <c r="G665" s="187"/>
      <c r="H665" s="187"/>
      <c r="I665" s="187"/>
      <c r="J665" s="182"/>
      <c r="K665" s="182"/>
      <c r="L665" s="187"/>
      <c r="M665" s="182"/>
      <c r="N665" s="182"/>
      <c r="O665" s="182"/>
      <c r="P665" s="182"/>
      <c r="Q665" s="182"/>
      <c r="R665" s="182"/>
      <c r="S665" s="182"/>
      <c r="T665" s="182"/>
      <c r="U665" s="182"/>
      <c r="AA665" s="35"/>
      <c r="AB665" s="35"/>
    </row>
    <row r="666" spans="1:28" x14ac:dyDescent="0.2">
      <c r="A666" s="177"/>
      <c r="B666" s="186"/>
      <c r="C666" s="186"/>
      <c r="D666" s="186"/>
      <c r="E666" s="182"/>
      <c r="F666" s="182"/>
      <c r="G666" s="187"/>
      <c r="H666" s="187"/>
      <c r="I666" s="187"/>
      <c r="J666" s="182"/>
      <c r="K666" s="182"/>
      <c r="L666" s="187"/>
      <c r="M666" s="182"/>
      <c r="N666" s="182"/>
      <c r="O666" s="182"/>
      <c r="P666" s="182"/>
      <c r="Q666" s="182"/>
      <c r="R666" s="182"/>
      <c r="S666" s="182"/>
      <c r="T666" s="182"/>
      <c r="U666" s="182"/>
      <c r="AA666" s="35"/>
      <c r="AB666" s="35"/>
    </row>
    <row r="667" spans="1:28" x14ac:dyDescent="0.2">
      <c r="A667" s="177"/>
      <c r="B667" s="186"/>
      <c r="C667" s="186"/>
      <c r="D667" s="186"/>
      <c r="E667" s="182"/>
      <c r="F667" s="182"/>
      <c r="G667" s="187"/>
      <c r="H667" s="187"/>
      <c r="I667" s="187"/>
      <c r="J667" s="182"/>
      <c r="K667" s="182"/>
      <c r="L667" s="187"/>
      <c r="M667" s="182"/>
      <c r="N667" s="182"/>
      <c r="O667" s="182"/>
      <c r="P667" s="182"/>
      <c r="Q667" s="182"/>
      <c r="R667" s="182"/>
      <c r="S667" s="182"/>
      <c r="T667" s="182"/>
      <c r="U667" s="182"/>
      <c r="AA667" s="35"/>
      <c r="AB667" s="35"/>
    </row>
    <row r="668" spans="1:28" x14ac:dyDescent="0.2">
      <c r="A668" s="177"/>
      <c r="B668" s="186"/>
      <c r="C668" s="186"/>
      <c r="D668" s="186"/>
      <c r="E668" s="182"/>
      <c r="F668" s="182"/>
      <c r="G668" s="187"/>
      <c r="H668" s="187"/>
      <c r="I668" s="187"/>
      <c r="J668" s="182"/>
      <c r="K668" s="182"/>
      <c r="L668" s="187"/>
      <c r="M668" s="182"/>
      <c r="N668" s="182"/>
      <c r="O668" s="182"/>
      <c r="P668" s="182"/>
      <c r="Q668" s="182"/>
      <c r="R668" s="182"/>
      <c r="S668" s="182"/>
      <c r="T668" s="182"/>
      <c r="U668" s="182"/>
      <c r="AA668" s="35"/>
      <c r="AB668" s="35"/>
    </row>
    <row r="669" spans="1:28" x14ac:dyDescent="0.2">
      <c r="A669" s="177"/>
      <c r="B669" s="186"/>
      <c r="C669" s="186"/>
      <c r="D669" s="186"/>
      <c r="E669" s="182"/>
      <c r="F669" s="182"/>
      <c r="G669" s="187"/>
      <c r="H669" s="187"/>
      <c r="I669" s="187"/>
      <c r="J669" s="182"/>
      <c r="K669" s="182"/>
      <c r="L669" s="187"/>
      <c r="M669" s="182"/>
      <c r="N669" s="182"/>
      <c r="O669" s="182"/>
      <c r="P669" s="182"/>
      <c r="Q669" s="182"/>
      <c r="R669" s="182"/>
      <c r="S669" s="182"/>
      <c r="T669" s="182"/>
      <c r="U669" s="182"/>
      <c r="AA669" s="35"/>
      <c r="AB669" s="35"/>
    </row>
    <row r="670" spans="1:28" x14ac:dyDescent="0.2">
      <c r="A670" s="177"/>
      <c r="B670" s="186"/>
      <c r="C670" s="186"/>
      <c r="D670" s="186"/>
      <c r="E670" s="182"/>
      <c r="F670" s="182"/>
      <c r="G670" s="187"/>
      <c r="H670" s="187"/>
      <c r="I670" s="187"/>
      <c r="J670" s="182"/>
      <c r="K670" s="182"/>
      <c r="L670" s="187"/>
      <c r="M670" s="182"/>
      <c r="N670" s="182"/>
      <c r="O670" s="182"/>
      <c r="P670" s="182"/>
      <c r="Q670" s="182"/>
      <c r="R670" s="182"/>
      <c r="S670" s="182"/>
      <c r="T670" s="182"/>
      <c r="U670" s="182"/>
      <c r="AA670" s="35"/>
      <c r="AB670" s="35"/>
    </row>
    <row r="671" spans="1:28" x14ac:dyDescent="0.2">
      <c r="A671" s="177"/>
      <c r="B671" s="186"/>
      <c r="C671" s="186"/>
      <c r="D671" s="186"/>
      <c r="E671" s="182"/>
      <c r="F671" s="182"/>
      <c r="G671" s="187"/>
      <c r="H671" s="187"/>
      <c r="I671" s="187"/>
      <c r="J671" s="182"/>
      <c r="K671" s="182"/>
      <c r="L671" s="187"/>
      <c r="M671" s="182"/>
      <c r="N671" s="182"/>
      <c r="O671" s="182"/>
      <c r="P671" s="182"/>
      <c r="Q671" s="182"/>
      <c r="R671" s="182"/>
      <c r="S671" s="182"/>
      <c r="T671" s="182"/>
      <c r="U671" s="182"/>
      <c r="AA671" s="35"/>
      <c r="AB671" s="35"/>
    </row>
    <row r="672" spans="1:28" x14ac:dyDescent="0.2">
      <c r="A672" s="177"/>
      <c r="B672" s="186"/>
      <c r="C672" s="186"/>
      <c r="D672" s="186"/>
      <c r="E672" s="182"/>
      <c r="F672" s="182"/>
      <c r="G672" s="187"/>
      <c r="H672" s="187"/>
      <c r="I672" s="187"/>
      <c r="J672" s="182"/>
      <c r="K672" s="182"/>
      <c r="L672" s="187"/>
      <c r="M672" s="182"/>
      <c r="N672" s="182"/>
      <c r="O672" s="182"/>
      <c r="P672" s="182"/>
      <c r="Q672" s="182"/>
      <c r="R672" s="182"/>
      <c r="S672" s="182"/>
      <c r="T672" s="182"/>
      <c r="U672" s="182"/>
      <c r="AA672" s="35"/>
      <c r="AB672" s="35"/>
    </row>
    <row r="673" spans="1:28" x14ac:dyDescent="0.2">
      <c r="A673" s="177"/>
      <c r="B673" s="186"/>
      <c r="C673" s="186"/>
      <c r="D673" s="186"/>
      <c r="E673" s="182"/>
      <c r="F673" s="182"/>
      <c r="G673" s="187"/>
      <c r="H673" s="187"/>
      <c r="I673" s="187"/>
      <c r="J673" s="182"/>
      <c r="K673" s="182"/>
      <c r="L673" s="187"/>
      <c r="M673" s="182"/>
      <c r="N673" s="182"/>
      <c r="O673" s="182"/>
      <c r="P673" s="182"/>
      <c r="Q673" s="182"/>
      <c r="R673" s="182"/>
      <c r="S673" s="182"/>
      <c r="T673" s="182"/>
      <c r="U673" s="182"/>
      <c r="AA673" s="35"/>
      <c r="AB673" s="35"/>
    </row>
    <row r="674" spans="1:28" x14ac:dyDescent="0.2">
      <c r="A674" s="177"/>
      <c r="B674" s="186"/>
      <c r="C674" s="186"/>
      <c r="D674" s="186"/>
      <c r="E674" s="182"/>
      <c r="F674" s="182"/>
      <c r="G674" s="187"/>
      <c r="H674" s="187"/>
      <c r="I674" s="187"/>
      <c r="J674" s="182"/>
      <c r="K674" s="182"/>
      <c r="L674" s="187"/>
      <c r="M674" s="182"/>
      <c r="N674" s="182"/>
      <c r="O674" s="182"/>
      <c r="P674" s="182"/>
      <c r="Q674" s="182"/>
      <c r="R674" s="182"/>
      <c r="S674" s="182"/>
      <c r="T674" s="182"/>
      <c r="U674" s="182"/>
      <c r="AA674" s="35"/>
      <c r="AB674" s="35"/>
    </row>
    <row r="675" spans="1:28" x14ac:dyDescent="0.2">
      <c r="A675" s="177"/>
      <c r="B675" s="186"/>
      <c r="C675" s="186"/>
      <c r="D675" s="186"/>
      <c r="E675" s="182"/>
      <c r="F675" s="182"/>
      <c r="G675" s="187"/>
      <c r="H675" s="187"/>
      <c r="I675" s="187"/>
      <c r="J675" s="182"/>
      <c r="K675" s="182"/>
      <c r="L675" s="187"/>
      <c r="M675" s="182"/>
      <c r="N675" s="182"/>
      <c r="O675" s="182"/>
      <c r="P675" s="182"/>
      <c r="Q675" s="182"/>
      <c r="R675" s="182"/>
      <c r="S675" s="182"/>
      <c r="T675" s="182"/>
      <c r="U675" s="182"/>
      <c r="AA675" s="35"/>
      <c r="AB675" s="35"/>
    </row>
    <row r="676" spans="1:28" x14ac:dyDescent="0.2">
      <c r="A676" s="177"/>
      <c r="B676" s="186"/>
      <c r="C676" s="186"/>
      <c r="D676" s="186"/>
      <c r="E676" s="182"/>
      <c r="F676" s="182"/>
      <c r="G676" s="187"/>
      <c r="H676" s="187"/>
      <c r="I676" s="187"/>
      <c r="J676" s="182"/>
      <c r="K676" s="182"/>
      <c r="L676" s="187"/>
      <c r="M676" s="182"/>
      <c r="N676" s="182"/>
      <c r="O676" s="182"/>
      <c r="P676" s="182"/>
      <c r="Q676" s="182"/>
      <c r="R676" s="182"/>
      <c r="S676" s="182"/>
      <c r="T676" s="182"/>
      <c r="U676" s="182"/>
      <c r="AA676" s="35"/>
      <c r="AB676" s="35"/>
    </row>
    <row r="677" spans="1:28" x14ac:dyDescent="0.2">
      <c r="A677" s="177"/>
      <c r="B677" s="186"/>
      <c r="C677" s="186"/>
      <c r="D677" s="186"/>
      <c r="E677" s="182"/>
      <c r="F677" s="182"/>
      <c r="G677" s="187"/>
      <c r="H677" s="187"/>
      <c r="I677" s="187"/>
      <c r="J677" s="182"/>
      <c r="K677" s="182"/>
      <c r="L677" s="187"/>
      <c r="M677" s="182"/>
      <c r="N677" s="182"/>
      <c r="O677" s="182"/>
      <c r="P677" s="182"/>
      <c r="Q677" s="182"/>
      <c r="R677" s="182"/>
      <c r="S677" s="182"/>
      <c r="T677" s="182"/>
      <c r="U677" s="182"/>
      <c r="AA677" s="35"/>
      <c r="AB677" s="35"/>
    </row>
    <row r="678" spans="1:28" x14ac:dyDescent="0.2">
      <c r="A678" s="177"/>
      <c r="B678" s="186"/>
      <c r="C678" s="186"/>
      <c r="D678" s="186"/>
      <c r="E678" s="182"/>
      <c r="F678" s="182"/>
      <c r="G678" s="187"/>
      <c r="H678" s="187"/>
      <c r="I678" s="187"/>
      <c r="J678" s="182"/>
      <c r="K678" s="182"/>
      <c r="L678" s="187"/>
      <c r="M678" s="182"/>
      <c r="N678" s="182"/>
      <c r="O678" s="182"/>
      <c r="P678" s="182"/>
      <c r="Q678" s="182"/>
      <c r="R678" s="182"/>
      <c r="S678" s="182"/>
      <c r="T678" s="182"/>
      <c r="U678" s="182"/>
      <c r="AA678" s="35"/>
      <c r="AB678" s="35"/>
    </row>
    <row r="679" spans="1:28" x14ac:dyDescent="0.2">
      <c r="A679" s="177"/>
      <c r="B679" s="186"/>
      <c r="C679" s="186"/>
      <c r="D679" s="186"/>
      <c r="E679" s="182"/>
      <c r="F679" s="182"/>
      <c r="G679" s="187"/>
      <c r="H679" s="187"/>
      <c r="I679" s="187"/>
      <c r="J679" s="182"/>
      <c r="K679" s="182"/>
      <c r="L679" s="187"/>
      <c r="M679" s="182"/>
      <c r="N679" s="182"/>
      <c r="O679" s="182"/>
      <c r="P679" s="182"/>
      <c r="Q679" s="182"/>
      <c r="R679" s="182"/>
      <c r="S679" s="182"/>
      <c r="T679" s="182"/>
      <c r="U679" s="182"/>
      <c r="AA679" s="35"/>
      <c r="AB679" s="35"/>
    </row>
    <row r="680" spans="1:28" x14ac:dyDescent="0.2">
      <c r="A680" s="177"/>
      <c r="B680" s="186"/>
      <c r="C680" s="186"/>
      <c r="D680" s="186"/>
      <c r="E680" s="182"/>
      <c r="F680" s="182"/>
      <c r="G680" s="187"/>
      <c r="H680" s="187"/>
      <c r="I680" s="187"/>
      <c r="J680" s="182"/>
      <c r="K680" s="182"/>
      <c r="L680" s="187"/>
      <c r="M680" s="182"/>
      <c r="N680" s="182"/>
      <c r="O680" s="182"/>
      <c r="P680" s="182"/>
      <c r="Q680" s="182"/>
      <c r="R680" s="182"/>
      <c r="S680" s="182"/>
      <c r="T680" s="182"/>
      <c r="U680" s="182"/>
      <c r="AA680" s="35"/>
      <c r="AB680" s="35"/>
    </row>
    <row r="681" spans="1:28" x14ac:dyDescent="0.2">
      <c r="A681" s="177"/>
      <c r="B681" s="186"/>
      <c r="C681" s="186"/>
      <c r="D681" s="186"/>
      <c r="E681" s="182"/>
      <c r="F681" s="182"/>
      <c r="G681" s="187"/>
      <c r="H681" s="187"/>
      <c r="I681" s="187"/>
      <c r="J681" s="182"/>
      <c r="K681" s="182"/>
      <c r="L681" s="187"/>
      <c r="M681" s="182"/>
      <c r="N681" s="182"/>
      <c r="O681" s="182"/>
      <c r="P681" s="182"/>
      <c r="Q681" s="182"/>
      <c r="R681" s="182"/>
      <c r="S681" s="182"/>
      <c r="T681" s="182"/>
      <c r="U681" s="182"/>
      <c r="AA681" s="35"/>
      <c r="AB681" s="35"/>
    </row>
    <row r="682" spans="1:28" x14ac:dyDescent="0.2">
      <c r="A682" s="177"/>
      <c r="B682" s="186"/>
      <c r="C682" s="186"/>
      <c r="D682" s="186"/>
      <c r="E682" s="182"/>
      <c r="F682" s="182"/>
      <c r="G682" s="187"/>
      <c r="H682" s="187"/>
      <c r="I682" s="187"/>
      <c r="J682" s="182"/>
      <c r="K682" s="182"/>
      <c r="L682" s="187"/>
      <c r="M682" s="182"/>
      <c r="N682" s="182"/>
      <c r="O682" s="182"/>
      <c r="P682" s="182"/>
      <c r="Q682" s="182"/>
      <c r="R682" s="182"/>
      <c r="S682" s="182"/>
      <c r="T682" s="182"/>
      <c r="U682" s="182"/>
      <c r="AA682" s="35"/>
      <c r="AB682" s="35"/>
    </row>
    <row r="683" spans="1:28" x14ac:dyDescent="0.2">
      <c r="A683" s="177"/>
      <c r="B683" s="186"/>
      <c r="C683" s="186"/>
      <c r="D683" s="186"/>
      <c r="E683" s="182"/>
      <c r="F683" s="182"/>
      <c r="G683" s="187"/>
      <c r="H683" s="187"/>
      <c r="I683" s="187"/>
      <c r="J683" s="182"/>
      <c r="K683" s="182"/>
      <c r="L683" s="187"/>
      <c r="M683" s="182"/>
      <c r="N683" s="182"/>
      <c r="O683" s="182"/>
      <c r="P683" s="182"/>
      <c r="Q683" s="182"/>
      <c r="R683" s="182"/>
      <c r="S683" s="182"/>
      <c r="T683" s="182"/>
      <c r="U683" s="182"/>
      <c r="AA683" s="35"/>
      <c r="AB683" s="35"/>
    </row>
    <row r="684" spans="1:28" x14ac:dyDescent="0.2">
      <c r="A684" s="177"/>
      <c r="B684" s="186"/>
      <c r="C684" s="186"/>
      <c r="D684" s="186"/>
      <c r="E684" s="182"/>
      <c r="F684" s="182"/>
      <c r="G684" s="187"/>
      <c r="H684" s="187"/>
      <c r="I684" s="187"/>
      <c r="J684" s="182"/>
      <c r="K684" s="182"/>
      <c r="L684" s="187"/>
      <c r="M684" s="182"/>
      <c r="N684" s="182"/>
      <c r="O684" s="182"/>
      <c r="P684" s="182"/>
      <c r="Q684" s="182"/>
      <c r="R684" s="182"/>
      <c r="S684" s="182"/>
      <c r="T684" s="182"/>
      <c r="U684" s="182"/>
      <c r="AA684" s="35"/>
      <c r="AB684" s="35"/>
    </row>
    <row r="685" spans="1:28" x14ac:dyDescent="0.2">
      <c r="A685" s="177"/>
      <c r="B685" s="186"/>
      <c r="C685" s="186"/>
      <c r="D685" s="186"/>
      <c r="E685" s="182"/>
      <c r="F685" s="182"/>
      <c r="G685" s="187"/>
      <c r="H685" s="187"/>
      <c r="I685" s="187"/>
      <c r="J685" s="182"/>
      <c r="K685" s="182"/>
      <c r="L685" s="187"/>
      <c r="M685" s="182"/>
      <c r="N685" s="182"/>
      <c r="O685" s="182"/>
      <c r="P685" s="182"/>
      <c r="Q685" s="182"/>
      <c r="R685" s="182"/>
      <c r="S685" s="182"/>
      <c r="T685" s="182"/>
      <c r="U685" s="182"/>
      <c r="AA685" s="35"/>
      <c r="AB685" s="35"/>
    </row>
    <row r="686" spans="1:28" x14ac:dyDescent="0.2">
      <c r="A686" s="177"/>
      <c r="B686" s="186"/>
      <c r="C686" s="186"/>
      <c r="D686" s="186"/>
      <c r="E686" s="182"/>
      <c r="F686" s="182"/>
      <c r="G686" s="187"/>
      <c r="H686" s="187"/>
      <c r="I686" s="187"/>
      <c r="J686" s="182"/>
      <c r="K686" s="182"/>
      <c r="L686" s="187"/>
      <c r="M686" s="182"/>
      <c r="N686" s="182"/>
      <c r="O686" s="182"/>
      <c r="P686" s="182"/>
      <c r="Q686" s="182"/>
      <c r="R686" s="182"/>
      <c r="S686" s="182"/>
      <c r="T686" s="182"/>
      <c r="U686" s="182"/>
      <c r="AA686" s="35"/>
      <c r="AB686" s="35"/>
    </row>
    <row r="687" spans="1:28" x14ac:dyDescent="0.2">
      <c r="A687" s="177"/>
      <c r="B687" s="186"/>
      <c r="C687" s="186"/>
      <c r="D687" s="186"/>
      <c r="E687" s="182"/>
      <c r="F687" s="182"/>
      <c r="G687" s="187"/>
      <c r="H687" s="187"/>
      <c r="I687" s="187"/>
      <c r="J687" s="182"/>
      <c r="K687" s="182"/>
      <c r="L687" s="187"/>
      <c r="M687" s="182"/>
      <c r="N687" s="182"/>
      <c r="O687" s="182"/>
      <c r="P687" s="182"/>
      <c r="Q687" s="182"/>
      <c r="R687" s="182"/>
      <c r="S687" s="182"/>
      <c r="T687" s="182"/>
      <c r="U687" s="182"/>
      <c r="AA687" s="35"/>
      <c r="AB687" s="35"/>
    </row>
    <row r="688" spans="1:28" x14ac:dyDescent="0.2">
      <c r="A688" s="177"/>
      <c r="B688" s="186"/>
      <c r="C688" s="186"/>
      <c r="D688" s="186"/>
      <c r="E688" s="182"/>
      <c r="F688" s="182"/>
      <c r="G688" s="187"/>
      <c r="H688" s="187"/>
      <c r="I688" s="187"/>
      <c r="J688" s="182"/>
      <c r="K688" s="182"/>
      <c r="L688" s="187"/>
      <c r="M688" s="182"/>
      <c r="N688" s="182"/>
      <c r="O688" s="182"/>
      <c r="P688" s="182"/>
      <c r="Q688" s="182"/>
      <c r="R688" s="182"/>
      <c r="S688" s="182"/>
      <c r="T688" s="182"/>
      <c r="U688" s="182"/>
      <c r="AA688" s="35"/>
      <c r="AB688" s="35"/>
    </row>
    <row r="689" spans="1:28" x14ac:dyDescent="0.2">
      <c r="A689" s="177"/>
      <c r="B689" s="186"/>
      <c r="C689" s="186"/>
      <c r="D689" s="186"/>
      <c r="E689" s="182"/>
      <c r="F689" s="182"/>
      <c r="G689" s="187"/>
      <c r="H689" s="187"/>
      <c r="I689" s="187"/>
      <c r="J689" s="182"/>
      <c r="K689" s="182"/>
      <c r="L689" s="187"/>
      <c r="M689" s="182"/>
      <c r="N689" s="182"/>
      <c r="O689" s="182"/>
      <c r="P689" s="182"/>
      <c r="Q689" s="182"/>
      <c r="R689" s="182"/>
      <c r="S689" s="182"/>
      <c r="T689" s="182"/>
      <c r="U689" s="182"/>
      <c r="AA689" s="35"/>
      <c r="AB689" s="35"/>
    </row>
    <row r="690" spans="1:28" x14ac:dyDescent="0.2">
      <c r="A690" s="177"/>
      <c r="B690" s="186"/>
      <c r="C690" s="186"/>
      <c r="D690" s="186"/>
      <c r="E690" s="182"/>
      <c r="F690" s="182"/>
      <c r="G690" s="187"/>
      <c r="H690" s="187"/>
      <c r="I690" s="187"/>
      <c r="J690" s="182"/>
      <c r="K690" s="182"/>
      <c r="L690" s="187"/>
      <c r="M690" s="182"/>
      <c r="N690" s="182"/>
      <c r="O690" s="182"/>
      <c r="P690" s="182"/>
      <c r="Q690" s="182"/>
      <c r="R690" s="182"/>
      <c r="S690" s="182"/>
      <c r="T690" s="182"/>
      <c r="U690" s="182"/>
      <c r="AA690" s="35"/>
      <c r="AB690" s="35"/>
    </row>
    <row r="691" spans="1:28" x14ac:dyDescent="0.2">
      <c r="A691" s="177"/>
      <c r="B691" s="186"/>
      <c r="C691" s="186"/>
      <c r="D691" s="186"/>
      <c r="E691" s="182"/>
      <c r="F691" s="182"/>
      <c r="G691" s="187"/>
      <c r="H691" s="187"/>
      <c r="I691" s="187"/>
      <c r="J691" s="182"/>
      <c r="K691" s="182"/>
      <c r="L691" s="187"/>
      <c r="M691" s="182"/>
      <c r="N691" s="182"/>
      <c r="O691" s="182"/>
      <c r="P691" s="182"/>
      <c r="Q691" s="182"/>
      <c r="R691" s="182"/>
      <c r="S691" s="182"/>
      <c r="T691" s="182"/>
      <c r="U691" s="182"/>
      <c r="AA691" s="35"/>
      <c r="AB691" s="35"/>
    </row>
    <row r="692" spans="1:28" x14ac:dyDescent="0.2">
      <c r="A692" s="177"/>
      <c r="B692" s="186"/>
      <c r="C692" s="186"/>
      <c r="D692" s="186"/>
      <c r="E692" s="182"/>
      <c r="F692" s="182"/>
      <c r="G692" s="187"/>
      <c r="H692" s="187"/>
      <c r="I692" s="187"/>
      <c r="J692" s="182"/>
      <c r="K692" s="182"/>
      <c r="L692" s="187"/>
      <c r="M692" s="182"/>
      <c r="N692" s="182"/>
      <c r="O692" s="182"/>
      <c r="P692" s="182"/>
      <c r="Q692" s="182"/>
      <c r="R692" s="182"/>
      <c r="S692" s="182"/>
      <c r="T692" s="182"/>
      <c r="U692" s="182"/>
      <c r="AA692" s="35"/>
      <c r="AB692" s="35"/>
    </row>
    <row r="693" spans="1:28" x14ac:dyDescent="0.2">
      <c r="A693" s="177"/>
      <c r="B693" s="186"/>
      <c r="C693" s="186"/>
      <c r="D693" s="186"/>
      <c r="E693" s="182"/>
      <c r="F693" s="182"/>
      <c r="G693" s="187"/>
      <c r="H693" s="187"/>
      <c r="I693" s="187"/>
      <c r="J693" s="182"/>
      <c r="K693" s="182"/>
      <c r="L693" s="187"/>
      <c r="M693" s="182"/>
      <c r="N693" s="182"/>
      <c r="O693" s="182"/>
      <c r="P693" s="182"/>
      <c r="Q693" s="182"/>
      <c r="R693" s="182"/>
      <c r="S693" s="182"/>
      <c r="T693" s="182"/>
      <c r="U693" s="182"/>
      <c r="AA693" s="35"/>
      <c r="AB693" s="35"/>
    </row>
    <row r="694" spans="1:28" x14ac:dyDescent="0.2">
      <c r="A694" s="177"/>
      <c r="B694" s="186"/>
      <c r="C694" s="186"/>
      <c r="D694" s="186"/>
      <c r="E694" s="182"/>
      <c r="F694" s="182"/>
      <c r="G694" s="187"/>
      <c r="H694" s="187"/>
      <c r="I694" s="187"/>
      <c r="J694" s="182"/>
      <c r="K694" s="182"/>
      <c r="L694" s="187"/>
      <c r="M694" s="182"/>
      <c r="N694" s="182"/>
      <c r="O694" s="182"/>
      <c r="P694" s="182"/>
      <c r="Q694" s="182"/>
      <c r="R694" s="182"/>
      <c r="S694" s="182"/>
      <c r="T694" s="182"/>
      <c r="U694" s="182"/>
      <c r="AA694" s="35"/>
      <c r="AB694" s="35"/>
    </row>
    <row r="695" spans="1:28" x14ac:dyDescent="0.2">
      <c r="A695" s="177"/>
      <c r="B695" s="186"/>
      <c r="C695" s="186"/>
      <c r="D695" s="186"/>
      <c r="E695" s="182"/>
      <c r="F695" s="182"/>
      <c r="G695" s="187"/>
      <c r="H695" s="187"/>
      <c r="I695" s="187"/>
      <c r="J695" s="182"/>
      <c r="K695" s="182"/>
      <c r="L695" s="187"/>
      <c r="M695" s="182"/>
      <c r="N695" s="182"/>
      <c r="O695" s="182"/>
      <c r="P695" s="182"/>
      <c r="Q695" s="182"/>
      <c r="R695" s="182"/>
      <c r="S695" s="182"/>
      <c r="T695" s="182"/>
      <c r="U695" s="182"/>
      <c r="AA695" s="35"/>
      <c r="AB695" s="35"/>
    </row>
    <row r="696" spans="1:28" x14ac:dyDescent="0.2">
      <c r="A696" s="177"/>
      <c r="B696" s="186"/>
      <c r="C696" s="186"/>
      <c r="D696" s="186"/>
      <c r="E696" s="182"/>
      <c r="F696" s="182"/>
      <c r="G696" s="187"/>
      <c r="H696" s="187"/>
      <c r="I696" s="187"/>
      <c r="J696" s="182"/>
      <c r="K696" s="182"/>
      <c r="L696" s="187"/>
      <c r="M696" s="182"/>
      <c r="N696" s="182"/>
      <c r="O696" s="182"/>
      <c r="P696" s="182"/>
      <c r="Q696" s="182"/>
      <c r="R696" s="182"/>
      <c r="S696" s="182"/>
      <c r="T696" s="182"/>
      <c r="U696" s="182"/>
      <c r="AA696" s="35"/>
      <c r="AB696" s="35"/>
    </row>
    <row r="697" spans="1:28" x14ac:dyDescent="0.2">
      <c r="A697" s="177"/>
      <c r="B697" s="186"/>
      <c r="C697" s="186"/>
      <c r="D697" s="186"/>
      <c r="E697" s="182"/>
      <c r="F697" s="182"/>
      <c r="G697" s="187"/>
      <c r="H697" s="187"/>
      <c r="I697" s="187"/>
      <c r="J697" s="182"/>
      <c r="K697" s="182"/>
      <c r="L697" s="187"/>
      <c r="M697" s="182"/>
      <c r="N697" s="182"/>
      <c r="O697" s="182"/>
      <c r="P697" s="182"/>
      <c r="Q697" s="182"/>
      <c r="R697" s="182"/>
      <c r="S697" s="182"/>
      <c r="T697" s="182"/>
      <c r="U697" s="182"/>
      <c r="AA697" s="35"/>
      <c r="AB697" s="35"/>
    </row>
    <row r="698" spans="1:28" x14ac:dyDescent="0.2">
      <c r="A698" s="177"/>
      <c r="B698" s="186"/>
      <c r="C698" s="186"/>
      <c r="D698" s="186"/>
      <c r="E698" s="182"/>
      <c r="F698" s="182"/>
      <c r="G698" s="187"/>
      <c r="H698" s="187"/>
      <c r="I698" s="187"/>
      <c r="J698" s="182"/>
      <c r="K698" s="182"/>
      <c r="L698" s="187"/>
      <c r="M698" s="182"/>
      <c r="N698" s="182"/>
      <c r="O698" s="182"/>
      <c r="P698" s="182"/>
      <c r="Q698" s="182"/>
      <c r="R698" s="182"/>
      <c r="S698" s="182"/>
      <c r="T698" s="182"/>
      <c r="U698" s="182"/>
      <c r="AA698" s="35"/>
      <c r="AB698" s="35"/>
    </row>
    <row r="699" spans="1:28" x14ac:dyDescent="0.2">
      <c r="A699" s="177"/>
      <c r="B699" s="186"/>
      <c r="C699" s="186"/>
      <c r="D699" s="186"/>
      <c r="E699" s="182"/>
      <c r="F699" s="182"/>
      <c r="G699" s="187"/>
      <c r="H699" s="187"/>
      <c r="I699" s="187"/>
      <c r="J699" s="182"/>
      <c r="K699" s="182"/>
      <c r="L699" s="187"/>
      <c r="M699" s="182"/>
      <c r="N699" s="182"/>
      <c r="O699" s="182"/>
      <c r="P699" s="182"/>
      <c r="Q699" s="182"/>
      <c r="R699" s="182"/>
      <c r="S699" s="182"/>
      <c r="T699" s="182"/>
      <c r="U699" s="182"/>
      <c r="AA699" s="35"/>
      <c r="AB699" s="35"/>
    </row>
    <row r="700" spans="1:28" x14ac:dyDescent="0.2">
      <c r="A700" s="177"/>
      <c r="B700" s="186"/>
      <c r="C700" s="186"/>
      <c r="D700" s="186"/>
      <c r="E700" s="182"/>
      <c r="F700" s="182"/>
      <c r="G700" s="187"/>
      <c r="H700" s="187"/>
      <c r="I700" s="187"/>
      <c r="J700" s="182"/>
      <c r="K700" s="182"/>
      <c r="L700" s="187"/>
      <c r="M700" s="182"/>
      <c r="N700" s="182"/>
      <c r="O700" s="182"/>
      <c r="P700" s="182"/>
      <c r="Q700" s="182"/>
      <c r="R700" s="182"/>
      <c r="S700" s="182"/>
      <c r="T700" s="182"/>
      <c r="U700" s="182"/>
      <c r="AA700" s="35"/>
      <c r="AB700" s="35"/>
    </row>
    <row r="701" spans="1:28" x14ac:dyDescent="0.2">
      <c r="A701" s="177"/>
      <c r="B701" s="186"/>
      <c r="C701" s="186"/>
      <c r="D701" s="186"/>
      <c r="E701" s="182"/>
      <c r="F701" s="182"/>
      <c r="G701" s="187"/>
      <c r="H701" s="187"/>
      <c r="I701" s="187"/>
      <c r="J701" s="182"/>
      <c r="K701" s="182"/>
      <c r="L701" s="187"/>
      <c r="M701" s="182"/>
      <c r="N701" s="182"/>
      <c r="O701" s="182"/>
      <c r="P701" s="182"/>
      <c r="Q701" s="182"/>
      <c r="R701" s="182"/>
      <c r="S701" s="182"/>
      <c r="T701" s="182"/>
      <c r="U701" s="182"/>
      <c r="AA701" s="35"/>
      <c r="AB701" s="35"/>
    </row>
    <row r="702" spans="1:28" x14ac:dyDescent="0.2">
      <c r="A702" s="177"/>
      <c r="B702" s="186"/>
      <c r="C702" s="186"/>
      <c r="D702" s="186"/>
      <c r="E702" s="182"/>
      <c r="F702" s="182"/>
      <c r="G702" s="187"/>
      <c r="H702" s="187"/>
      <c r="I702" s="187"/>
      <c r="J702" s="182"/>
      <c r="K702" s="182"/>
      <c r="L702" s="187"/>
      <c r="M702" s="182"/>
      <c r="N702" s="182"/>
      <c r="O702" s="182"/>
      <c r="P702" s="182"/>
      <c r="Q702" s="182"/>
      <c r="R702" s="182"/>
      <c r="S702" s="182"/>
      <c r="T702" s="182"/>
      <c r="U702" s="182"/>
      <c r="AA702" s="35"/>
      <c r="AB702" s="35"/>
    </row>
    <row r="703" spans="1:28" x14ac:dyDescent="0.2">
      <c r="A703" s="177"/>
      <c r="B703" s="186"/>
      <c r="C703" s="186"/>
      <c r="D703" s="186"/>
      <c r="E703" s="182"/>
      <c r="F703" s="182"/>
      <c r="G703" s="187"/>
      <c r="H703" s="187"/>
      <c r="I703" s="187"/>
      <c r="J703" s="182"/>
      <c r="K703" s="182"/>
      <c r="L703" s="187"/>
      <c r="M703" s="182"/>
      <c r="N703" s="182"/>
      <c r="O703" s="182"/>
      <c r="P703" s="182"/>
      <c r="Q703" s="182"/>
      <c r="R703" s="182"/>
      <c r="S703" s="182"/>
      <c r="T703" s="182"/>
      <c r="U703" s="182"/>
      <c r="AA703" s="35"/>
      <c r="AB703" s="35"/>
    </row>
    <row r="704" spans="1:28" x14ac:dyDescent="0.2">
      <c r="A704" s="177"/>
      <c r="B704" s="186"/>
      <c r="C704" s="186"/>
      <c r="D704" s="186"/>
      <c r="E704" s="182"/>
      <c r="F704" s="182"/>
      <c r="G704" s="187"/>
      <c r="H704" s="187"/>
      <c r="I704" s="187"/>
      <c r="J704" s="182"/>
      <c r="K704" s="182"/>
      <c r="L704" s="187"/>
      <c r="M704" s="182"/>
      <c r="N704" s="182"/>
      <c r="O704" s="182"/>
      <c r="P704" s="182"/>
      <c r="Q704" s="182"/>
      <c r="R704" s="182"/>
      <c r="S704" s="182"/>
      <c r="T704" s="182"/>
      <c r="U704" s="182"/>
      <c r="AA704" s="35"/>
      <c r="AB704" s="35"/>
    </row>
    <row r="705" spans="1:28" x14ac:dyDescent="0.2">
      <c r="A705" s="177"/>
      <c r="B705" s="186"/>
      <c r="C705" s="186"/>
      <c r="D705" s="186"/>
      <c r="E705" s="182"/>
      <c r="F705" s="182"/>
      <c r="G705" s="187"/>
      <c r="H705" s="187"/>
      <c r="I705" s="187"/>
      <c r="J705" s="182"/>
      <c r="K705" s="182"/>
      <c r="L705" s="187"/>
      <c r="M705" s="182"/>
      <c r="N705" s="182"/>
      <c r="O705" s="182"/>
      <c r="P705" s="182"/>
      <c r="Q705" s="182"/>
      <c r="R705" s="182"/>
      <c r="S705" s="182"/>
      <c r="T705" s="182"/>
      <c r="U705" s="182"/>
      <c r="AA705" s="35"/>
      <c r="AB705" s="35"/>
    </row>
    <row r="706" spans="1:28" x14ac:dyDescent="0.2">
      <c r="A706" s="177"/>
      <c r="B706" s="186"/>
      <c r="C706" s="186"/>
      <c r="D706" s="186"/>
      <c r="E706" s="182"/>
      <c r="F706" s="182"/>
      <c r="G706" s="187"/>
      <c r="H706" s="187"/>
      <c r="I706" s="187"/>
      <c r="J706" s="182"/>
      <c r="K706" s="182"/>
      <c r="L706" s="187"/>
      <c r="M706" s="182"/>
      <c r="N706" s="182"/>
      <c r="O706" s="182"/>
      <c r="P706" s="182"/>
      <c r="Q706" s="182"/>
      <c r="R706" s="182"/>
      <c r="S706" s="182"/>
      <c r="T706" s="182"/>
      <c r="U706" s="182"/>
      <c r="AA706" s="35"/>
      <c r="AB706" s="35"/>
    </row>
    <row r="707" spans="1:28" x14ac:dyDescent="0.2">
      <c r="A707" s="177"/>
      <c r="B707" s="186"/>
      <c r="C707" s="186"/>
      <c r="D707" s="186"/>
      <c r="E707" s="182"/>
      <c r="F707" s="182"/>
      <c r="G707" s="187"/>
      <c r="H707" s="187"/>
      <c r="I707" s="187"/>
      <c r="J707" s="182"/>
      <c r="K707" s="182"/>
      <c r="L707" s="187"/>
      <c r="M707" s="182"/>
      <c r="N707" s="182"/>
      <c r="O707" s="182"/>
      <c r="P707" s="182"/>
      <c r="Q707" s="182"/>
      <c r="R707" s="182"/>
      <c r="S707" s="182"/>
      <c r="T707" s="182"/>
      <c r="U707" s="182"/>
      <c r="AA707" s="35"/>
      <c r="AB707" s="35"/>
    </row>
    <row r="708" spans="1:28" x14ac:dyDescent="0.2">
      <c r="A708" s="177"/>
      <c r="B708" s="186"/>
      <c r="C708" s="186"/>
      <c r="D708" s="186"/>
      <c r="E708" s="182"/>
      <c r="F708" s="182"/>
      <c r="G708" s="187"/>
      <c r="H708" s="187"/>
      <c r="I708" s="187"/>
      <c r="J708" s="182"/>
      <c r="K708" s="182"/>
      <c r="L708" s="187"/>
      <c r="M708" s="182"/>
      <c r="N708" s="182"/>
      <c r="O708" s="182"/>
      <c r="P708" s="182"/>
      <c r="Q708" s="182"/>
      <c r="R708" s="182"/>
      <c r="S708" s="182"/>
      <c r="T708" s="182"/>
      <c r="U708" s="182"/>
      <c r="AA708" s="35"/>
      <c r="AB708" s="35"/>
    </row>
    <row r="709" spans="1:28" x14ac:dyDescent="0.2">
      <c r="A709" s="177"/>
      <c r="B709" s="186"/>
      <c r="C709" s="186"/>
      <c r="D709" s="186"/>
      <c r="E709" s="182"/>
      <c r="F709" s="182"/>
      <c r="G709" s="187"/>
      <c r="H709" s="187"/>
      <c r="I709" s="187"/>
      <c r="J709" s="182"/>
      <c r="K709" s="182"/>
      <c r="L709" s="187"/>
      <c r="M709" s="182"/>
      <c r="N709" s="182"/>
      <c r="O709" s="182"/>
      <c r="P709" s="182"/>
      <c r="Q709" s="182"/>
      <c r="R709" s="182"/>
      <c r="S709" s="182"/>
      <c r="T709" s="182"/>
      <c r="U709" s="182"/>
      <c r="AA709" s="35"/>
      <c r="AB709" s="35"/>
    </row>
    <row r="710" spans="1:28" x14ac:dyDescent="0.2">
      <c r="A710" s="177"/>
      <c r="B710" s="186"/>
      <c r="C710" s="186"/>
      <c r="D710" s="186"/>
      <c r="E710" s="182"/>
      <c r="F710" s="182"/>
      <c r="G710" s="187"/>
      <c r="H710" s="187"/>
      <c r="I710" s="187"/>
      <c r="J710" s="182"/>
      <c r="K710" s="182"/>
      <c r="L710" s="187"/>
      <c r="M710" s="182"/>
      <c r="N710" s="182"/>
      <c r="O710" s="182"/>
      <c r="P710" s="182"/>
      <c r="Q710" s="182"/>
      <c r="R710" s="182"/>
      <c r="S710" s="182"/>
      <c r="T710" s="182"/>
      <c r="U710" s="182"/>
      <c r="AA710" s="35"/>
      <c r="AB710" s="35"/>
    </row>
    <row r="711" spans="1:28" x14ac:dyDescent="0.2">
      <c r="A711" s="177"/>
      <c r="B711" s="186"/>
      <c r="C711" s="186"/>
      <c r="D711" s="186"/>
      <c r="E711" s="182"/>
      <c r="F711" s="182"/>
      <c r="G711" s="187"/>
      <c r="H711" s="187"/>
      <c r="I711" s="187"/>
      <c r="J711" s="182"/>
      <c r="K711" s="182"/>
      <c r="L711" s="187"/>
      <c r="M711" s="182"/>
      <c r="N711" s="182"/>
      <c r="O711" s="182"/>
      <c r="P711" s="182"/>
      <c r="Q711" s="182"/>
      <c r="R711" s="182"/>
      <c r="S711" s="182"/>
      <c r="T711" s="182"/>
      <c r="U711" s="182"/>
      <c r="AA711" s="35"/>
      <c r="AB711" s="35"/>
    </row>
    <row r="712" spans="1:28" x14ac:dyDescent="0.2">
      <c r="A712" s="177"/>
      <c r="B712" s="186"/>
      <c r="C712" s="186"/>
      <c r="D712" s="186"/>
      <c r="E712" s="182"/>
      <c r="F712" s="182"/>
      <c r="G712" s="187"/>
      <c r="H712" s="187"/>
      <c r="I712" s="187"/>
      <c r="J712" s="182"/>
      <c r="K712" s="182"/>
      <c r="L712" s="187"/>
      <c r="M712" s="182"/>
      <c r="N712" s="182"/>
      <c r="O712" s="182"/>
      <c r="P712" s="182"/>
      <c r="Q712" s="182"/>
      <c r="R712" s="182"/>
      <c r="S712" s="182"/>
      <c r="T712" s="182"/>
      <c r="U712" s="182"/>
      <c r="AA712" s="35"/>
      <c r="AB712" s="35"/>
    </row>
    <row r="713" spans="1:28" x14ac:dyDescent="0.2">
      <c r="A713" s="177"/>
      <c r="B713" s="186"/>
      <c r="C713" s="186"/>
      <c r="D713" s="186"/>
      <c r="E713" s="182"/>
      <c r="F713" s="182"/>
      <c r="G713" s="187"/>
      <c r="H713" s="187"/>
      <c r="I713" s="187"/>
      <c r="J713" s="182"/>
      <c r="K713" s="182"/>
      <c r="L713" s="187"/>
      <c r="M713" s="182"/>
      <c r="N713" s="182"/>
      <c r="O713" s="182"/>
      <c r="P713" s="182"/>
      <c r="Q713" s="182"/>
      <c r="R713" s="182"/>
      <c r="S713" s="182"/>
      <c r="T713" s="182"/>
      <c r="U713" s="182"/>
      <c r="AA713" s="35"/>
      <c r="AB713" s="35"/>
    </row>
    <row r="714" spans="1:28" x14ac:dyDescent="0.2">
      <c r="A714" s="177"/>
      <c r="B714" s="186"/>
      <c r="C714" s="186"/>
      <c r="D714" s="186"/>
      <c r="E714" s="182"/>
      <c r="F714" s="182"/>
      <c r="G714" s="187"/>
      <c r="H714" s="187"/>
      <c r="I714" s="187"/>
      <c r="J714" s="182"/>
      <c r="K714" s="182"/>
      <c r="L714" s="187"/>
      <c r="M714" s="182"/>
      <c r="N714" s="182"/>
      <c r="O714" s="182"/>
      <c r="P714" s="182"/>
      <c r="Q714" s="182"/>
      <c r="R714" s="182"/>
      <c r="S714" s="182"/>
      <c r="T714" s="182"/>
      <c r="U714" s="182"/>
      <c r="AA714" s="35"/>
      <c r="AB714" s="35"/>
    </row>
    <row r="715" spans="1:28" x14ac:dyDescent="0.2">
      <c r="A715" s="177"/>
      <c r="B715" s="186"/>
      <c r="C715" s="186"/>
      <c r="D715" s="186"/>
      <c r="E715" s="182"/>
      <c r="F715" s="182"/>
      <c r="G715" s="187"/>
      <c r="H715" s="187"/>
      <c r="I715" s="187"/>
      <c r="J715" s="182"/>
      <c r="K715" s="182"/>
      <c r="L715" s="187"/>
      <c r="M715" s="182"/>
      <c r="N715" s="182"/>
      <c r="O715" s="182"/>
      <c r="P715" s="182"/>
      <c r="Q715" s="182"/>
      <c r="R715" s="182"/>
      <c r="S715" s="182"/>
      <c r="T715" s="182"/>
      <c r="U715" s="182"/>
      <c r="AA715" s="35"/>
      <c r="AB715" s="35"/>
    </row>
    <row r="716" spans="1:28" x14ac:dyDescent="0.2">
      <c r="A716" s="177"/>
      <c r="B716" s="186"/>
      <c r="C716" s="186"/>
      <c r="D716" s="186"/>
      <c r="E716" s="182"/>
      <c r="F716" s="182"/>
      <c r="G716" s="187"/>
      <c r="H716" s="187"/>
      <c r="I716" s="187"/>
      <c r="J716" s="182"/>
      <c r="K716" s="182"/>
      <c r="L716" s="187"/>
      <c r="M716" s="182"/>
      <c r="N716" s="182"/>
      <c r="O716" s="182"/>
      <c r="P716" s="182"/>
      <c r="Q716" s="182"/>
      <c r="R716" s="182"/>
      <c r="S716" s="182"/>
      <c r="T716" s="182"/>
      <c r="U716" s="182"/>
      <c r="AA716" s="35"/>
      <c r="AB716" s="35"/>
    </row>
    <row r="717" spans="1:28" x14ac:dyDescent="0.2">
      <c r="A717" s="177"/>
      <c r="B717" s="186"/>
      <c r="C717" s="186"/>
      <c r="D717" s="186"/>
      <c r="E717" s="182"/>
      <c r="F717" s="182"/>
      <c r="G717" s="187"/>
      <c r="H717" s="187"/>
      <c r="I717" s="187"/>
      <c r="J717" s="182"/>
      <c r="K717" s="182"/>
      <c r="L717" s="187"/>
      <c r="M717" s="182"/>
      <c r="N717" s="182"/>
      <c r="O717" s="182"/>
      <c r="P717" s="182"/>
      <c r="Q717" s="182"/>
      <c r="R717" s="182"/>
      <c r="S717" s="182"/>
      <c r="T717" s="182"/>
      <c r="U717" s="182"/>
      <c r="AA717" s="35"/>
      <c r="AB717" s="35"/>
    </row>
    <row r="718" spans="1:28" x14ac:dyDescent="0.2">
      <c r="A718" s="177"/>
      <c r="B718" s="186"/>
      <c r="C718" s="186"/>
      <c r="D718" s="186"/>
      <c r="E718" s="182"/>
      <c r="F718" s="182"/>
      <c r="G718" s="187"/>
      <c r="H718" s="187"/>
      <c r="I718" s="187"/>
      <c r="J718" s="182"/>
      <c r="K718" s="182"/>
      <c r="L718" s="187"/>
      <c r="M718" s="182"/>
      <c r="N718" s="182"/>
      <c r="O718" s="182"/>
      <c r="P718" s="182"/>
      <c r="Q718" s="182"/>
      <c r="R718" s="182"/>
      <c r="S718" s="182"/>
      <c r="T718" s="182"/>
      <c r="U718" s="182"/>
      <c r="AA718" s="35"/>
      <c r="AB718" s="35"/>
    </row>
    <row r="719" spans="1:28" x14ac:dyDescent="0.2">
      <c r="A719" s="177"/>
      <c r="B719" s="186"/>
      <c r="C719" s="186"/>
      <c r="D719" s="186"/>
      <c r="E719" s="182"/>
      <c r="F719" s="182"/>
      <c r="G719" s="187"/>
      <c r="H719" s="187"/>
      <c r="I719" s="187"/>
      <c r="J719" s="182"/>
      <c r="K719" s="182"/>
      <c r="L719" s="187"/>
      <c r="M719" s="182"/>
      <c r="N719" s="182"/>
      <c r="O719" s="182"/>
      <c r="P719" s="182"/>
      <c r="Q719" s="182"/>
      <c r="R719" s="182"/>
      <c r="S719" s="182"/>
      <c r="T719" s="182"/>
      <c r="U719" s="182"/>
      <c r="AA719" s="35"/>
      <c r="AB719" s="35"/>
    </row>
    <row r="720" spans="1:28" x14ac:dyDescent="0.2">
      <c r="A720" s="177"/>
      <c r="B720" s="186"/>
      <c r="C720" s="186"/>
      <c r="D720" s="186"/>
      <c r="E720" s="182"/>
      <c r="F720" s="182"/>
      <c r="G720" s="187"/>
      <c r="H720" s="187"/>
      <c r="I720" s="187"/>
      <c r="J720" s="182"/>
      <c r="K720" s="182"/>
      <c r="L720" s="187"/>
      <c r="M720" s="182"/>
      <c r="N720" s="182"/>
      <c r="O720" s="182"/>
      <c r="P720" s="182"/>
      <c r="Q720" s="182"/>
      <c r="R720" s="182"/>
      <c r="S720" s="182"/>
      <c r="T720" s="182"/>
      <c r="U720" s="182"/>
      <c r="AA720" s="35"/>
      <c r="AB720" s="35"/>
    </row>
    <row r="721" spans="1:28" x14ac:dyDescent="0.2">
      <c r="A721" s="177"/>
      <c r="B721" s="186"/>
      <c r="C721" s="186"/>
      <c r="D721" s="186"/>
      <c r="E721" s="182"/>
      <c r="F721" s="182"/>
      <c r="G721" s="187"/>
      <c r="H721" s="187"/>
      <c r="I721" s="187"/>
      <c r="J721" s="182"/>
      <c r="K721" s="182"/>
      <c r="L721" s="187"/>
      <c r="M721" s="182"/>
      <c r="N721" s="182"/>
      <c r="O721" s="182"/>
      <c r="P721" s="182"/>
      <c r="Q721" s="182"/>
      <c r="R721" s="182"/>
      <c r="S721" s="182"/>
      <c r="T721" s="182"/>
      <c r="U721" s="182"/>
      <c r="AA721" s="35"/>
      <c r="AB721" s="35"/>
    </row>
    <row r="722" spans="1:28" x14ac:dyDescent="0.2">
      <c r="A722" s="177"/>
      <c r="B722" s="186"/>
      <c r="C722" s="186"/>
      <c r="D722" s="186"/>
      <c r="E722" s="182"/>
      <c r="F722" s="182"/>
      <c r="G722" s="187"/>
      <c r="H722" s="187"/>
      <c r="I722" s="187"/>
      <c r="J722" s="182"/>
      <c r="K722" s="182"/>
      <c r="L722" s="187"/>
      <c r="M722" s="182"/>
      <c r="N722" s="182"/>
      <c r="O722" s="182"/>
      <c r="P722" s="182"/>
      <c r="Q722" s="182"/>
      <c r="R722" s="182"/>
      <c r="S722" s="182"/>
      <c r="T722" s="182"/>
      <c r="U722" s="182"/>
      <c r="AA722" s="35"/>
      <c r="AB722" s="35"/>
    </row>
    <row r="723" spans="1:28" x14ac:dyDescent="0.2">
      <c r="A723" s="177"/>
      <c r="B723" s="186"/>
      <c r="C723" s="186"/>
      <c r="D723" s="186"/>
      <c r="E723" s="182"/>
      <c r="F723" s="182"/>
      <c r="G723" s="187"/>
      <c r="H723" s="187"/>
      <c r="I723" s="187"/>
      <c r="J723" s="182"/>
      <c r="K723" s="182"/>
      <c r="L723" s="187"/>
      <c r="M723" s="182"/>
      <c r="N723" s="182"/>
      <c r="O723" s="182"/>
      <c r="P723" s="182"/>
      <c r="Q723" s="182"/>
      <c r="R723" s="182"/>
      <c r="S723" s="182"/>
      <c r="T723" s="182"/>
      <c r="U723" s="182"/>
      <c r="AA723" s="35"/>
      <c r="AB723" s="35"/>
    </row>
    <row r="724" spans="1:28" x14ac:dyDescent="0.2">
      <c r="A724" s="177"/>
      <c r="B724" s="186"/>
      <c r="C724" s="186"/>
      <c r="D724" s="186"/>
      <c r="E724" s="182"/>
      <c r="F724" s="182"/>
      <c r="G724" s="187"/>
      <c r="H724" s="187"/>
      <c r="I724" s="187"/>
      <c r="J724" s="182"/>
      <c r="K724" s="182"/>
      <c r="L724" s="187"/>
      <c r="M724" s="182"/>
      <c r="N724" s="182"/>
      <c r="O724" s="182"/>
      <c r="P724" s="182"/>
      <c r="Q724" s="182"/>
      <c r="R724" s="182"/>
      <c r="S724" s="182"/>
      <c r="T724" s="182"/>
      <c r="U724" s="182"/>
      <c r="AA724" s="35"/>
      <c r="AB724" s="35"/>
    </row>
    <row r="725" spans="1:28" x14ac:dyDescent="0.2">
      <c r="A725" s="177"/>
      <c r="B725" s="186"/>
      <c r="C725" s="186"/>
      <c r="D725" s="186"/>
      <c r="E725" s="182"/>
      <c r="F725" s="182"/>
      <c r="G725" s="187"/>
      <c r="H725" s="187"/>
      <c r="I725" s="187"/>
      <c r="J725" s="182"/>
      <c r="K725" s="182"/>
      <c r="L725" s="187"/>
      <c r="M725" s="182"/>
      <c r="N725" s="182"/>
      <c r="O725" s="182"/>
      <c r="P725" s="182"/>
      <c r="Q725" s="182"/>
      <c r="R725" s="182"/>
      <c r="S725" s="182"/>
      <c r="T725" s="182"/>
      <c r="U725" s="182"/>
      <c r="AA725" s="35"/>
      <c r="AB725" s="35"/>
    </row>
    <row r="726" spans="1:28" x14ac:dyDescent="0.2">
      <c r="A726" s="177"/>
      <c r="B726" s="186"/>
      <c r="C726" s="186"/>
      <c r="D726" s="186"/>
      <c r="E726" s="182"/>
      <c r="F726" s="182"/>
      <c r="G726" s="187"/>
      <c r="H726" s="187"/>
      <c r="I726" s="187"/>
      <c r="J726" s="182"/>
      <c r="K726" s="182"/>
      <c r="L726" s="187"/>
      <c r="M726" s="182"/>
      <c r="N726" s="182"/>
      <c r="O726" s="182"/>
      <c r="P726" s="182"/>
      <c r="Q726" s="182"/>
      <c r="R726" s="182"/>
      <c r="S726" s="182"/>
      <c r="T726" s="182"/>
      <c r="U726" s="182"/>
      <c r="AA726" s="35"/>
      <c r="AB726" s="35"/>
    </row>
    <row r="727" spans="1:28" x14ac:dyDescent="0.2">
      <c r="A727" s="177"/>
      <c r="B727" s="186"/>
      <c r="C727" s="186"/>
      <c r="D727" s="186"/>
      <c r="E727" s="182"/>
      <c r="F727" s="182"/>
      <c r="G727" s="187"/>
      <c r="H727" s="187"/>
      <c r="I727" s="187"/>
      <c r="J727" s="182"/>
      <c r="K727" s="182"/>
      <c r="L727" s="187"/>
      <c r="M727" s="182"/>
      <c r="N727" s="182"/>
      <c r="O727" s="182"/>
      <c r="P727" s="182"/>
      <c r="Q727" s="182"/>
      <c r="R727" s="182"/>
      <c r="S727" s="182"/>
      <c r="T727" s="182"/>
      <c r="U727" s="182"/>
      <c r="AA727" s="35"/>
      <c r="AB727" s="35"/>
    </row>
    <row r="728" spans="1:28" x14ac:dyDescent="0.2">
      <c r="A728" s="177"/>
      <c r="B728" s="186"/>
      <c r="C728" s="186"/>
      <c r="D728" s="186"/>
      <c r="E728" s="182"/>
      <c r="F728" s="182"/>
      <c r="G728" s="187"/>
      <c r="H728" s="187"/>
      <c r="I728" s="187"/>
      <c r="J728" s="182"/>
      <c r="K728" s="182"/>
      <c r="L728" s="187"/>
      <c r="M728" s="182"/>
      <c r="N728" s="182"/>
      <c r="O728" s="182"/>
      <c r="P728" s="182"/>
      <c r="Q728" s="182"/>
      <c r="R728" s="182"/>
      <c r="S728" s="182"/>
      <c r="T728" s="182"/>
      <c r="U728" s="182"/>
      <c r="AA728" s="35"/>
      <c r="AB728" s="35"/>
    </row>
    <row r="729" spans="1:28" x14ac:dyDescent="0.2">
      <c r="A729" s="177"/>
      <c r="B729" s="186"/>
      <c r="C729" s="186"/>
      <c r="D729" s="186"/>
      <c r="E729" s="182"/>
      <c r="F729" s="182"/>
      <c r="G729" s="187"/>
      <c r="H729" s="187"/>
      <c r="I729" s="187"/>
      <c r="J729" s="182"/>
      <c r="K729" s="182"/>
      <c r="L729" s="187"/>
      <c r="M729" s="182"/>
      <c r="N729" s="182"/>
      <c r="O729" s="182"/>
      <c r="P729" s="182"/>
      <c r="Q729" s="182"/>
      <c r="R729" s="182"/>
      <c r="S729" s="182"/>
      <c r="T729" s="182"/>
      <c r="U729" s="182"/>
      <c r="AA729" s="35"/>
      <c r="AB729" s="35"/>
    </row>
    <row r="730" spans="1:28" x14ac:dyDescent="0.2">
      <c r="A730" s="177"/>
      <c r="B730" s="186"/>
      <c r="C730" s="186"/>
      <c r="D730" s="186"/>
      <c r="E730" s="182"/>
      <c r="F730" s="182"/>
      <c r="G730" s="187"/>
      <c r="H730" s="187"/>
      <c r="I730" s="187"/>
      <c r="J730" s="182"/>
      <c r="K730" s="182"/>
      <c r="L730" s="187"/>
      <c r="M730" s="182"/>
      <c r="N730" s="182"/>
      <c r="O730" s="182"/>
      <c r="P730" s="182"/>
      <c r="Q730" s="182"/>
      <c r="R730" s="182"/>
      <c r="S730" s="182"/>
      <c r="T730" s="182"/>
      <c r="U730" s="182"/>
      <c r="AA730" s="35"/>
      <c r="AB730" s="35"/>
    </row>
    <row r="731" spans="1:28" x14ac:dyDescent="0.2">
      <c r="A731" s="177"/>
      <c r="B731" s="186"/>
      <c r="C731" s="186"/>
      <c r="D731" s="186"/>
      <c r="E731" s="182"/>
      <c r="F731" s="182"/>
      <c r="G731" s="187"/>
      <c r="H731" s="187"/>
      <c r="I731" s="187"/>
      <c r="J731" s="182"/>
      <c r="K731" s="182"/>
      <c r="L731" s="187"/>
      <c r="M731" s="182"/>
      <c r="N731" s="182"/>
      <c r="O731" s="182"/>
      <c r="P731" s="182"/>
      <c r="Q731" s="182"/>
      <c r="R731" s="182"/>
      <c r="S731" s="182"/>
      <c r="T731" s="182"/>
      <c r="U731" s="182"/>
      <c r="AA731" s="35"/>
      <c r="AB731" s="35"/>
    </row>
    <row r="732" spans="1:28" x14ac:dyDescent="0.2">
      <c r="A732" s="177"/>
      <c r="B732" s="186"/>
      <c r="C732" s="186"/>
      <c r="D732" s="186"/>
      <c r="E732" s="182"/>
      <c r="F732" s="182"/>
      <c r="G732" s="187"/>
      <c r="H732" s="187"/>
      <c r="I732" s="187"/>
      <c r="J732" s="182"/>
      <c r="K732" s="182"/>
      <c r="L732" s="187"/>
      <c r="M732" s="182"/>
      <c r="N732" s="182"/>
      <c r="O732" s="182"/>
      <c r="P732" s="182"/>
      <c r="Q732" s="182"/>
      <c r="R732" s="182"/>
      <c r="S732" s="182"/>
      <c r="T732" s="182"/>
      <c r="U732" s="182"/>
      <c r="AA732" s="35"/>
      <c r="AB732" s="35"/>
    </row>
    <row r="733" spans="1:28" x14ac:dyDescent="0.2">
      <c r="A733" s="177"/>
      <c r="B733" s="186"/>
      <c r="C733" s="186"/>
      <c r="D733" s="186"/>
      <c r="E733" s="182"/>
      <c r="F733" s="182"/>
      <c r="G733" s="187"/>
      <c r="H733" s="187"/>
      <c r="I733" s="187"/>
      <c r="J733" s="182"/>
      <c r="K733" s="182"/>
      <c r="L733" s="187"/>
      <c r="M733" s="182"/>
      <c r="N733" s="182"/>
      <c r="O733" s="182"/>
      <c r="P733" s="182"/>
      <c r="Q733" s="182"/>
      <c r="R733" s="182"/>
      <c r="S733" s="182"/>
      <c r="T733" s="182"/>
      <c r="U733" s="182"/>
      <c r="AA733" s="35"/>
      <c r="AB733" s="35"/>
    </row>
    <row r="734" spans="1:28" x14ac:dyDescent="0.2">
      <c r="A734" s="177"/>
      <c r="B734" s="186"/>
      <c r="C734" s="186"/>
      <c r="D734" s="186"/>
      <c r="E734" s="182"/>
      <c r="F734" s="182"/>
      <c r="G734" s="187"/>
      <c r="H734" s="187"/>
      <c r="I734" s="187"/>
      <c r="J734" s="182"/>
      <c r="K734" s="182"/>
      <c r="L734" s="187"/>
      <c r="M734" s="182"/>
      <c r="N734" s="182"/>
      <c r="O734" s="182"/>
      <c r="P734" s="182"/>
      <c r="Q734" s="182"/>
      <c r="R734" s="182"/>
      <c r="S734" s="182"/>
      <c r="T734" s="182"/>
      <c r="U734" s="182"/>
      <c r="AA734" s="35"/>
      <c r="AB734" s="35"/>
    </row>
    <row r="735" spans="1:28" x14ac:dyDescent="0.2">
      <c r="A735" s="177"/>
      <c r="B735" s="186"/>
      <c r="C735" s="186"/>
      <c r="D735" s="186"/>
      <c r="E735" s="182"/>
      <c r="F735" s="182"/>
      <c r="G735" s="187"/>
      <c r="H735" s="187"/>
      <c r="I735" s="187"/>
      <c r="J735" s="182"/>
      <c r="K735" s="182"/>
      <c r="L735" s="187"/>
      <c r="M735" s="182"/>
      <c r="N735" s="182"/>
      <c r="O735" s="182"/>
      <c r="P735" s="182"/>
      <c r="Q735" s="182"/>
      <c r="R735" s="182"/>
      <c r="S735" s="182"/>
      <c r="T735" s="182"/>
      <c r="U735" s="182"/>
      <c r="AA735" s="35"/>
      <c r="AB735" s="35"/>
    </row>
    <row r="736" spans="1:28" x14ac:dyDescent="0.2">
      <c r="A736" s="177"/>
      <c r="B736" s="186"/>
      <c r="C736" s="186"/>
      <c r="D736" s="186"/>
      <c r="E736" s="182"/>
      <c r="F736" s="182"/>
      <c r="G736" s="187"/>
      <c r="H736" s="187"/>
      <c r="I736" s="187"/>
      <c r="J736" s="182"/>
      <c r="K736" s="182"/>
      <c r="L736" s="187"/>
      <c r="M736" s="182"/>
      <c r="N736" s="182"/>
      <c r="O736" s="182"/>
      <c r="P736" s="182"/>
      <c r="Q736" s="182"/>
      <c r="R736" s="182"/>
      <c r="S736" s="182"/>
      <c r="T736" s="182"/>
      <c r="U736" s="182"/>
      <c r="AA736" s="35"/>
      <c r="AB736" s="35"/>
    </row>
    <row r="737" spans="1:28" x14ac:dyDescent="0.2">
      <c r="A737" s="177"/>
      <c r="B737" s="186"/>
      <c r="C737" s="186"/>
      <c r="D737" s="186"/>
      <c r="E737" s="182"/>
      <c r="F737" s="182"/>
      <c r="G737" s="187"/>
      <c r="H737" s="187"/>
      <c r="I737" s="187"/>
      <c r="J737" s="182"/>
      <c r="K737" s="182"/>
      <c r="L737" s="187"/>
      <c r="M737" s="182"/>
      <c r="N737" s="182"/>
      <c r="O737" s="182"/>
      <c r="P737" s="182"/>
      <c r="Q737" s="182"/>
      <c r="R737" s="182"/>
      <c r="S737" s="182"/>
      <c r="T737" s="182"/>
      <c r="U737" s="182"/>
      <c r="AA737" s="35"/>
      <c r="AB737" s="35"/>
    </row>
    <row r="738" spans="1:28" x14ac:dyDescent="0.2">
      <c r="A738" s="177"/>
      <c r="B738" s="186"/>
      <c r="C738" s="186"/>
      <c r="D738" s="186"/>
      <c r="E738" s="182"/>
      <c r="F738" s="182"/>
      <c r="G738" s="187"/>
      <c r="H738" s="187"/>
      <c r="I738" s="187"/>
      <c r="J738" s="182"/>
      <c r="K738" s="182"/>
      <c r="L738" s="187"/>
      <c r="M738" s="182"/>
      <c r="N738" s="182"/>
      <c r="O738" s="182"/>
      <c r="P738" s="182"/>
      <c r="Q738" s="182"/>
      <c r="R738" s="182"/>
      <c r="S738" s="182"/>
      <c r="T738" s="182"/>
      <c r="U738" s="182"/>
      <c r="AA738" s="35"/>
      <c r="AB738" s="35"/>
    </row>
    <row r="739" spans="1:28" x14ac:dyDescent="0.2">
      <c r="A739" s="177"/>
      <c r="B739" s="186"/>
      <c r="C739" s="186"/>
      <c r="D739" s="186"/>
      <c r="E739" s="182"/>
      <c r="F739" s="182"/>
      <c r="G739" s="187"/>
      <c r="H739" s="187"/>
      <c r="I739" s="187"/>
      <c r="J739" s="182"/>
      <c r="K739" s="182"/>
      <c r="L739" s="187"/>
      <c r="M739" s="182"/>
      <c r="N739" s="182"/>
      <c r="O739" s="182"/>
      <c r="P739" s="182"/>
      <c r="Q739" s="182"/>
      <c r="R739" s="182"/>
      <c r="S739" s="182"/>
      <c r="T739" s="182"/>
      <c r="U739" s="182"/>
      <c r="AA739" s="35"/>
      <c r="AB739" s="35"/>
    </row>
    <row r="740" spans="1:28" x14ac:dyDescent="0.2">
      <c r="A740" s="177"/>
      <c r="B740" s="186"/>
      <c r="C740" s="186"/>
      <c r="D740" s="186"/>
      <c r="E740" s="182"/>
      <c r="F740" s="182"/>
      <c r="G740" s="187"/>
      <c r="H740" s="187"/>
      <c r="I740" s="187"/>
      <c r="J740" s="182"/>
      <c r="K740" s="182"/>
      <c r="L740" s="187"/>
      <c r="M740" s="182"/>
      <c r="N740" s="182"/>
      <c r="O740" s="182"/>
      <c r="P740" s="182"/>
      <c r="Q740" s="182"/>
      <c r="R740" s="182"/>
      <c r="S740" s="182"/>
      <c r="T740" s="182"/>
      <c r="U740" s="182"/>
      <c r="AA740" s="35"/>
      <c r="AB740" s="35"/>
    </row>
    <row r="741" spans="1:28" x14ac:dyDescent="0.2">
      <c r="A741" s="177"/>
      <c r="B741" s="186"/>
      <c r="C741" s="186"/>
      <c r="D741" s="186"/>
      <c r="E741" s="182"/>
      <c r="F741" s="182"/>
      <c r="G741" s="187"/>
      <c r="H741" s="187"/>
      <c r="I741" s="187"/>
      <c r="J741" s="182"/>
      <c r="K741" s="182"/>
      <c r="L741" s="187"/>
      <c r="M741" s="182"/>
      <c r="N741" s="182"/>
      <c r="O741" s="182"/>
      <c r="P741" s="182"/>
      <c r="Q741" s="182"/>
      <c r="R741" s="182"/>
      <c r="S741" s="182"/>
      <c r="T741" s="182"/>
      <c r="U741" s="182"/>
      <c r="AA741" s="35"/>
      <c r="AB741" s="35"/>
    </row>
    <row r="742" spans="1:28" x14ac:dyDescent="0.2">
      <c r="A742" s="177"/>
      <c r="B742" s="186"/>
      <c r="C742" s="186"/>
      <c r="D742" s="186"/>
      <c r="E742" s="182"/>
      <c r="F742" s="182"/>
      <c r="G742" s="187"/>
      <c r="H742" s="187"/>
      <c r="I742" s="187"/>
      <c r="J742" s="182"/>
      <c r="K742" s="182"/>
      <c r="L742" s="187"/>
      <c r="M742" s="182"/>
      <c r="N742" s="182"/>
      <c r="O742" s="182"/>
      <c r="P742" s="182"/>
      <c r="Q742" s="182"/>
      <c r="R742" s="182"/>
      <c r="S742" s="182"/>
      <c r="T742" s="182"/>
      <c r="U742" s="182"/>
      <c r="AA742" s="35"/>
      <c r="AB742" s="35"/>
    </row>
    <row r="743" spans="1:28" x14ac:dyDescent="0.2">
      <c r="A743" s="177"/>
      <c r="B743" s="186"/>
      <c r="C743" s="186"/>
      <c r="D743" s="186"/>
      <c r="E743" s="182"/>
      <c r="F743" s="182"/>
      <c r="G743" s="187"/>
      <c r="H743" s="187"/>
      <c r="I743" s="187"/>
      <c r="J743" s="182"/>
      <c r="K743" s="182"/>
      <c r="L743" s="187"/>
      <c r="M743" s="182"/>
      <c r="N743" s="182"/>
      <c r="O743" s="182"/>
      <c r="P743" s="182"/>
      <c r="Q743" s="182"/>
      <c r="R743" s="182"/>
      <c r="S743" s="182"/>
      <c r="T743" s="182"/>
      <c r="U743" s="182"/>
      <c r="AA743" s="35"/>
      <c r="AB743" s="35"/>
    </row>
    <row r="744" spans="1:28" x14ac:dyDescent="0.2">
      <c r="A744" s="177"/>
      <c r="B744" s="186"/>
      <c r="C744" s="186"/>
      <c r="D744" s="186"/>
      <c r="E744" s="182"/>
      <c r="F744" s="182"/>
      <c r="G744" s="187"/>
      <c r="H744" s="187"/>
      <c r="I744" s="187"/>
      <c r="J744" s="182"/>
      <c r="K744" s="182"/>
      <c r="L744" s="187"/>
      <c r="M744" s="182"/>
      <c r="N744" s="182"/>
      <c r="O744" s="182"/>
      <c r="P744" s="182"/>
      <c r="Q744" s="182"/>
      <c r="R744" s="182"/>
      <c r="S744" s="182"/>
      <c r="T744" s="182"/>
      <c r="U744" s="182"/>
      <c r="AA744" s="35"/>
      <c r="AB744" s="35"/>
    </row>
    <row r="745" spans="1:28" x14ac:dyDescent="0.2">
      <c r="A745" s="177"/>
      <c r="B745" s="186"/>
      <c r="C745" s="186"/>
      <c r="D745" s="186"/>
      <c r="E745" s="182"/>
      <c r="F745" s="182"/>
      <c r="G745" s="187"/>
      <c r="H745" s="187"/>
      <c r="I745" s="187"/>
      <c r="J745" s="182"/>
      <c r="K745" s="182"/>
      <c r="L745" s="187"/>
      <c r="M745" s="182"/>
      <c r="N745" s="182"/>
      <c r="O745" s="182"/>
      <c r="P745" s="182"/>
      <c r="Q745" s="182"/>
      <c r="R745" s="182"/>
      <c r="S745" s="182"/>
      <c r="T745" s="182"/>
      <c r="U745" s="182"/>
      <c r="AA745" s="35"/>
      <c r="AB745" s="35"/>
    </row>
    <row r="746" spans="1:28" x14ac:dyDescent="0.2">
      <c r="A746" s="177"/>
      <c r="B746" s="186"/>
      <c r="C746" s="186"/>
      <c r="D746" s="186"/>
      <c r="E746" s="182"/>
      <c r="F746" s="182"/>
      <c r="G746" s="187"/>
      <c r="H746" s="187"/>
      <c r="I746" s="187"/>
      <c r="J746" s="182"/>
      <c r="K746" s="182"/>
      <c r="L746" s="187"/>
      <c r="M746" s="182"/>
      <c r="N746" s="182"/>
      <c r="O746" s="182"/>
      <c r="P746" s="182"/>
      <c r="Q746" s="182"/>
      <c r="R746" s="182"/>
      <c r="S746" s="182"/>
      <c r="T746" s="182"/>
      <c r="U746" s="182"/>
      <c r="AA746" s="35"/>
      <c r="AB746" s="35"/>
    </row>
    <row r="747" spans="1:28" x14ac:dyDescent="0.2">
      <c r="A747" s="177"/>
      <c r="B747" s="186"/>
      <c r="C747" s="186"/>
      <c r="D747" s="186"/>
      <c r="E747" s="182"/>
      <c r="F747" s="182"/>
      <c r="G747" s="187"/>
      <c r="H747" s="187"/>
      <c r="I747" s="187"/>
      <c r="J747" s="182"/>
      <c r="K747" s="182"/>
      <c r="L747" s="187"/>
      <c r="M747" s="182"/>
      <c r="N747" s="182"/>
      <c r="O747" s="182"/>
      <c r="P747" s="182"/>
      <c r="Q747" s="182"/>
      <c r="R747" s="182"/>
      <c r="S747" s="182"/>
      <c r="T747" s="182"/>
      <c r="U747" s="182"/>
      <c r="AA747" s="35"/>
      <c r="AB747" s="35"/>
    </row>
    <row r="748" spans="1:28" x14ac:dyDescent="0.2">
      <c r="A748" s="177"/>
      <c r="B748" s="186"/>
      <c r="C748" s="186"/>
      <c r="D748" s="186"/>
      <c r="E748" s="182"/>
      <c r="F748" s="182"/>
      <c r="G748" s="187"/>
      <c r="H748" s="187"/>
      <c r="I748" s="187"/>
      <c r="J748" s="182"/>
      <c r="K748" s="182"/>
      <c r="L748" s="187"/>
      <c r="M748" s="182"/>
      <c r="N748" s="182"/>
      <c r="O748" s="182"/>
      <c r="P748" s="182"/>
      <c r="Q748" s="182"/>
      <c r="R748" s="182"/>
      <c r="S748" s="182"/>
      <c r="T748" s="182"/>
      <c r="U748" s="182"/>
      <c r="AA748" s="35"/>
      <c r="AB748" s="35"/>
    </row>
    <row r="749" spans="1:28" x14ac:dyDescent="0.2">
      <c r="A749" s="177"/>
      <c r="B749" s="186"/>
      <c r="C749" s="186"/>
      <c r="D749" s="186"/>
      <c r="E749" s="182"/>
      <c r="F749" s="182"/>
      <c r="G749" s="187"/>
      <c r="H749" s="187"/>
      <c r="I749" s="187"/>
      <c r="J749" s="182"/>
      <c r="K749" s="182"/>
      <c r="L749" s="187"/>
      <c r="M749" s="182"/>
      <c r="N749" s="182"/>
      <c r="O749" s="182"/>
      <c r="P749" s="182"/>
      <c r="Q749" s="182"/>
      <c r="R749" s="182"/>
      <c r="S749" s="182"/>
      <c r="T749" s="182"/>
      <c r="U749" s="182"/>
      <c r="AA749" s="35"/>
      <c r="AB749" s="35"/>
    </row>
    <row r="750" spans="1:28" x14ac:dyDescent="0.2">
      <c r="A750" s="177"/>
      <c r="B750" s="186"/>
      <c r="C750" s="186"/>
      <c r="D750" s="186"/>
      <c r="E750" s="182"/>
      <c r="F750" s="182"/>
      <c r="G750" s="187"/>
      <c r="H750" s="187"/>
      <c r="I750" s="187"/>
      <c r="J750" s="182"/>
      <c r="K750" s="182"/>
      <c r="L750" s="187"/>
      <c r="M750" s="182"/>
      <c r="N750" s="182"/>
      <c r="O750" s="182"/>
      <c r="P750" s="182"/>
      <c r="Q750" s="182"/>
      <c r="R750" s="182"/>
      <c r="S750" s="182"/>
      <c r="T750" s="182"/>
      <c r="U750" s="182"/>
      <c r="AA750" s="35"/>
      <c r="AB750" s="35"/>
    </row>
    <row r="751" spans="1:28" x14ac:dyDescent="0.2">
      <c r="A751" s="177"/>
      <c r="B751" s="186"/>
      <c r="C751" s="186"/>
      <c r="D751" s="186"/>
      <c r="E751" s="182"/>
      <c r="F751" s="182"/>
      <c r="G751" s="187"/>
      <c r="H751" s="187"/>
      <c r="I751" s="187"/>
      <c r="J751" s="182"/>
      <c r="K751" s="182"/>
      <c r="L751" s="187"/>
      <c r="M751" s="182"/>
      <c r="N751" s="182"/>
      <c r="O751" s="182"/>
      <c r="P751" s="182"/>
      <c r="Q751" s="182"/>
      <c r="R751" s="182"/>
      <c r="S751" s="182"/>
      <c r="T751" s="182"/>
      <c r="U751" s="182"/>
      <c r="AA751" s="35"/>
      <c r="AB751" s="35"/>
    </row>
    <row r="752" spans="1:28" x14ac:dyDescent="0.2">
      <c r="A752" s="177"/>
      <c r="B752" s="186"/>
      <c r="C752" s="186"/>
      <c r="D752" s="186"/>
      <c r="E752" s="182"/>
      <c r="F752" s="182"/>
      <c r="G752" s="187"/>
      <c r="H752" s="187"/>
      <c r="I752" s="187"/>
      <c r="J752" s="182"/>
      <c r="K752" s="182"/>
      <c r="L752" s="187"/>
      <c r="M752" s="182"/>
      <c r="N752" s="182"/>
      <c r="O752" s="182"/>
      <c r="P752" s="182"/>
      <c r="Q752" s="182"/>
      <c r="R752" s="182"/>
      <c r="S752" s="182"/>
      <c r="T752" s="182"/>
      <c r="U752" s="182"/>
      <c r="AA752" s="35"/>
      <c r="AB752" s="35"/>
    </row>
    <row r="753" spans="1:28" x14ac:dyDescent="0.2">
      <c r="A753" s="177"/>
      <c r="B753" s="186"/>
      <c r="C753" s="186"/>
      <c r="D753" s="186"/>
      <c r="E753" s="182"/>
      <c r="F753" s="182"/>
      <c r="G753" s="187"/>
      <c r="H753" s="187"/>
      <c r="I753" s="187"/>
      <c r="J753" s="182"/>
      <c r="K753" s="182"/>
      <c r="L753" s="187"/>
      <c r="M753" s="182"/>
      <c r="N753" s="182"/>
      <c r="O753" s="182"/>
      <c r="P753" s="182"/>
      <c r="Q753" s="182"/>
      <c r="R753" s="182"/>
      <c r="S753" s="182"/>
      <c r="T753" s="182"/>
      <c r="U753" s="182"/>
      <c r="AA753" s="35"/>
      <c r="AB753" s="35"/>
    </row>
    <row r="754" spans="1:28" x14ac:dyDescent="0.2">
      <c r="A754" s="177"/>
      <c r="B754" s="186"/>
      <c r="C754" s="186"/>
      <c r="D754" s="186"/>
      <c r="E754" s="182"/>
      <c r="F754" s="182"/>
      <c r="G754" s="187"/>
      <c r="H754" s="187"/>
      <c r="I754" s="187"/>
      <c r="J754" s="182"/>
      <c r="K754" s="182"/>
      <c r="L754" s="187"/>
      <c r="M754" s="182"/>
      <c r="N754" s="182"/>
      <c r="O754" s="182"/>
      <c r="P754" s="182"/>
      <c r="Q754" s="182"/>
      <c r="R754" s="182"/>
      <c r="S754" s="182"/>
      <c r="T754" s="182"/>
      <c r="U754" s="182"/>
      <c r="AA754" s="35"/>
      <c r="AB754" s="35"/>
    </row>
    <row r="755" spans="1:28" x14ac:dyDescent="0.2">
      <c r="A755" s="177"/>
      <c r="B755" s="186"/>
      <c r="C755" s="186"/>
      <c r="D755" s="186"/>
      <c r="E755" s="182"/>
      <c r="F755" s="182"/>
      <c r="G755" s="187"/>
      <c r="H755" s="187"/>
      <c r="I755" s="187"/>
      <c r="J755" s="182"/>
      <c r="K755" s="182"/>
      <c r="L755" s="187"/>
      <c r="M755" s="182"/>
      <c r="N755" s="182"/>
      <c r="O755" s="182"/>
      <c r="P755" s="182"/>
      <c r="Q755" s="182"/>
      <c r="R755" s="182"/>
      <c r="S755" s="182"/>
      <c r="T755" s="182"/>
      <c r="U755" s="182"/>
      <c r="AA755" s="35"/>
      <c r="AB755" s="35"/>
    </row>
    <row r="756" spans="1:28" x14ac:dyDescent="0.2">
      <c r="A756" s="177"/>
      <c r="B756" s="186"/>
      <c r="C756" s="186"/>
      <c r="D756" s="186"/>
      <c r="E756" s="182"/>
      <c r="F756" s="182"/>
      <c r="G756" s="187"/>
      <c r="H756" s="187"/>
      <c r="I756" s="187"/>
      <c r="J756" s="182"/>
      <c r="K756" s="182"/>
      <c r="L756" s="187"/>
      <c r="M756" s="182"/>
      <c r="N756" s="182"/>
      <c r="O756" s="182"/>
      <c r="P756" s="182"/>
      <c r="Q756" s="182"/>
      <c r="R756" s="182"/>
      <c r="S756" s="182"/>
      <c r="T756" s="182"/>
      <c r="U756" s="182"/>
      <c r="AA756" s="35"/>
      <c r="AB756" s="35"/>
    </row>
    <row r="757" spans="1:28" x14ac:dyDescent="0.2">
      <c r="A757" s="177"/>
      <c r="B757" s="186"/>
      <c r="C757" s="186"/>
      <c r="D757" s="186"/>
      <c r="E757" s="182"/>
      <c r="F757" s="182"/>
      <c r="G757" s="187"/>
      <c r="H757" s="187"/>
      <c r="I757" s="187"/>
      <c r="J757" s="182"/>
      <c r="K757" s="182"/>
      <c r="L757" s="187"/>
      <c r="M757" s="182"/>
      <c r="N757" s="182"/>
      <c r="O757" s="182"/>
      <c r="P757" s="182"/>
      <c r="Q757" s="182"/>
      <c r="R757" s="182"/>
      <c r="S757" s="182"/>
      <c r="T757" s="182"/>
      <c r="U757" s="182"/>
      <c r="AA757" s="35"/>
      <c r="AB757" s="35"/>
    </row>
    <row r="758" spans="1:28" x14ac:dyDescent="0.2">
      <c r="A758" s="177"/>
      <c r="B758" s="186"/>
      <c r="C758" s="186"/>
      <c r="D758" s="186"/>
      <c r="E758" s="182"/>
      <c r="F758" s="182"/>
      <c r="G758" s="187"/>
      <c r="H758" s="187"/>
      <c r="I758" s="187"/>
      <c r="J758" s="182"/>
      <c r="K758" s="182"/>
      <c r="L758" s="187"/>
      <c r="M758" s="182"/>
      <c r="N758" s="182"/>
      <c r="O758" s="182"/>
      <c r="P758" s="182"/>
      <c r="Q758" s="182"/>
      <c r="R758" s="182"/>
      <c r="S758" s="182"/>
      <c r="T758" s="182"/>
      <c r="U758" s="182"/>
      <c r="AA758" s="35"/>
      <c r="AB758" s="35"/>
    </row>
    <row r="759" spans="1:28" x14ac:dyDescent="0.2">
      <c r="A759" s="177"/>
      <c r="B759" s="186"/>
      <c r="C759" s="186"/>
      <c r="D759" s="186"/>
      <c r="E759" s="182"/>
      <c r="F759" s="182"/>
      <c r="G759" s="187"/>
      <c r="H759" s="187"/>
      <c r="I759" s="187"/>
      <c r="J759" s="182"/>
      <c r="K759" s="182"/>
      <c r="L759" s="187"/>
      <c r="M759" s="182"/>
      <c r="N759" s="182"/>
      <c r="O759" s="182"/>
      <c r="P759" s="182"/>
      <c r="Q759" s="182"/>
      <c r="R759" s="182"/>
      <c r="S759" s="182"/>
      <c r="T759" s="182"/>
      <c r="U759" s="182"/>
      <c r="AA759" s="35"/>
      <c r="AB759" s="35"/>
    </row>
    <row r="760" spans="1:28" x14ac:dyDescent="0.2">
      <c r="A760" s="177"/>
      <c r="B760" s="186"/>
      <c r="C760" s="186"/>
      <c r="D760" s="186"/>
      <c r="E760" s="182"/>
      <c r="F760" s="182"/>
      <c r="G760" s="187"/>
      <c r="H760" s="187"/>
      <c r="I760" s="187"/>
      <c r="J760" s="182"/>
      <c r="K760" s="182"/>
      <c r="L760" s="187"/>
      <c r="M760" s="182"/>
      <c r="N760" s="182"/>
      <c r="O760" s="182"/>
      <c r="P760" s="182"/>
      <c r="Q760" s="182"/>
      <c r="R760" s="182"/>
      <c r="S760" s="182"/>
      <c r="T760" s="182"/>
      <c r="U760" s="182"/>
      <c r="AA760" s="35"/>
      <c r="AB760" s="35"/>
    </row>
    <row r="761" spans="1:28" x14ac:dyDescent="0.2">
      <c r="A761" s="177"/>
      <c r="B761" s="186"/>
      <c r="C761" s="186"/>
      <c r="D761" s="186"/>
      <c r="E761" s="182"/>
      <c r="F761" s="182"/>
      <c r="G761" s="187"/>
      <c r="H761" s="187"/>
      <c r="I761" s="187"/>
      <c r="J761" s="182"/>
      <c r="K761" s="182"/>
      <c r="L761" s="187"/>
      <c r="M761" s="182"/>
      <c r="N761" s="182"/>
      <c r="O761" s="182"/>
      <c r="P761" s="182"/>
      <c r="Q761" s="182"/>
      <c r="R761" s="182"/>
      <c r="S761" s="182"/>
      <c r="T761" s="182"/>
      <c r="U761" s="182"/>
      <c r="AA761" s="35"/>
      <c r="AB761" s="35"/>
    </row>
    <row r="762" spans="1:28" x14ac:dyDescent="0.2">
      <c r="A762" s="177"/>
      <c r="B762" s="186"/>
      <c r="C762" s="186"/>
      <c r="D762" s="186"/>
      <c r="E762" s="182"/>
      <c r="F762" s="182"/>
      <c r="G762" s="187"/>
      <c r="H762" s="187"/>
      <c r="I762" s="187"/>
      <c r="J762" s="182"/>
      <c r="K762" s="182"/>
      <c r="L762" s="187"/>
      <c r="M762" s="182"/>
      <c r="N762" s="182"/>
      <c r="O762" s="182"/>
      <c r="P762" s="182"/>
      <c r="Q762" s="182"/>
      <c r="R762" s="182"/>
      <c r="S762" s="182"/>
      <c r="T762" s="182"/>
      <c r="U762" s="182"/>
      <c r="AA762" s="35"/>
      <c r="AB762" s="35"/>
    </row>
    <row r="763" spans="1:28" x14ac:dyDescent="0.2">
      <c r="A763" s="177"/>
      <c r="B763" s="186"/>
      <c r="C763" s="186"/>
      <c r="D763" s="186"/>
      <c r="E763" s="182"/>
      <c r="F763" s="182"/>
      <c r="G763" s="187"/>
      <c r="H763" s="187"/>
      <c r="I763" s="187"/>
      <c r="J763" s="182"/>
      <c r="K763" s="182"/>
      <c r="L763" s="187"/>
      <c r="M763" s="182"/>
      <c r="N763" s="182"/>
      <c r="O763" s="182"/>
      <c r="P763" s="182"/>
      <c r="Q763" s="182"/>
      <c r="R763" s="182"/>
      <c r="S763" s="182"/>
      <c r="T763" s="182"/>
      <c r="U763" s="182"/>
      <c r="AA763" s="35"/>
      <c r="AB763" s="35"/>
    </row>
    <row r="764" spans="1:28" x14ac:dyDescent="0.2">
      <c r="A764" s="177"/>
      <c r="B764" s="186"/>
      <c r="C764" s="186"/>
      <c r="D764" s="186"/>
      <c r="E764" s="182"/>
      <c r="F764" s="182"/>
      <c r="G764" s="187"/>
      <c r="H764" s="187"/>
      <c r="I764" s="187"/>
      <c r="J764" s="182"/>
      <c r="K764" s="182"/>
      <c r="L764" s="187"/>
      <c r="M764" s="182"/>
      <c r="N764" s="182"/>
      <c r="O764" s="182"/>
      <c r="P764" s="182"/>
      <c r="Q764" s="182"/>
      <c r="R764" s="182"/>
      <c r="S764" s="182"/>
      <c r="T764" s="182"/>
      <c r="U764" s="182"/>
      <c r="AA764" s="35"/>
      <c r="AB764" s="35"/>
    </row>
    <row r="765" spans="1:28" x14ac:dyDescent="0.2">
      <c r="A765" s="177"/>
      <c r="B765" s="186"/>
      <c r="C765" s="186"/>
      <c r="D765" s="186"/>
      <c r="E765" s="182"/>
      <c r="F765" s="182"/>
      <c r="G765" s="187"/>
      <c r="H765" s="187"/>
      <c r="I765" s="187"/>
      <c r="J765" s="182"/>
      <c r="K765" s="182"/>
      <c r="L765" s="187"/>
      <c r="M765" s="182"/>
      <c r="N765" s="182"/>
      <c r="O765" s="182"/>
      <c r="P765" s="182"/>
      <c r="Q765" s="182"/>
      <c r="R765" s="182"/>
      <c r="S765" s="182"/>
      <c r="T765" s="182"/>
      <c r="U765" s="182"/>
      <c r="AA765" s="35"/>
      <c r="AB765" s="35"/>
    </row>
    <row r="766" spans="1:28" x14ac:dyDescent="0.2">
      <c r="A766" s="177"/>
      <c r="B766" s="186"/>
      <c r="C766" s="186"/>
      <c r="D766" s="186"/>
      <c r="E766" s="182"/>
      <c r="F766" s="182"/>
      <c r="G766" s="187"/>
      <c r="H766" s="187"/>
      <c r="I766" s="187"/>
      <c r="J766" s="182"/>
      <c r="K766" s="182"/>
      <c r="L766" s="187"/>
      <c r="M766" s="182"/>
      <c r="N766" s="182"/>
      <c r="O766" s="182"/>
      <c r="P766" s="182"/>
      <c r="Q766" s="182"/>
      <c r="R766" s="182"/>
      <c r="S766" s="182"/>
      <c r="T766" s="182"/>
      <c r="U766" s="182"/>
      <c r="AA766" s="35"/>
      <c r="AB766" s="35"/>
    </row>
    <row r="767" spans="1:28" x14ac:dyDescent="0.2">
      <c r="A767" s="177"/>
      <c r="B767" s="186"/>
      <c r="C767" s="186"/>
      <c r="D767" s="186"/>
      <c r="E767" s="182"/>
      <c r="F767" s="182"/>
      <c r="G767" s="187"/>
      <c r="H767" s="187"/>
      <c r="I767" s="187"/>
      <c r="J767" s="182"/>
      <c r="K767" s="182"/>
      <c r="L767" s="187"/>
      <c r="M767" s="182"/>
      <c r="N767" s="182"/>
      <c r="O767" s="182"/>
      <c r="P767" s="182"/>
      <c r="Q767" s="182"/>
      <c r="R767" s="182"/>
      <c r="S767" s="182"/>
      <c r="T767" s="182"/>
      <c r="U767" s="182"/>
      <c r="AA767" s="35"/>
      <c r="AB767" s="35"/>
    </row>
    <row r="768" spans="1:28" x14ac:dyDescent="0.2">
      <c r="A768" s="177"/>
      <c r="B768" s="186"/>
      <c r="C768" s="186"/>
      <c r="D768" s="186"/>
      <c r="E768" s="182"/>
      <c r="F768" s="182"/>
      <c r="G768" s="187"/>
      <c r="H768" s="187"/>
      <c r="I768" s="187"/>
      <c r="J768" s="182"/>
      <c r="K768" s="182"/>
      <c r="L768" s="187"/>
      <c r="M768" s="182"/>
      <c r="N768" s="182"/>
      <c r="O768" s="182"/>
      <c r="P768" s="182"/>
      <c r="Q768" s="182"/>
      <c r="R768" s="182"/>
      <c r="S768" s="182"/>
      <c r="T768" s="182"/>
      <c r="U768" s="182"/>
      <c r="AA768" s="35"/>
      <c r="AB768" s="35"/>
    </row>
    <row r="769" spans="1:28" x14ac:dyDescent="0.2">
      <c r="A769" s="177"/>
      <c r="B769" s="186"/>
      <c r="C769" s="186"/>
      <c r="D769" s="186"/>
      <c r="E769" s="182"/>
      <c r="F769" s="182"/>
      <c r="G769" s="187"/>
      <c r="H769" s="187"/>
      <c r="I769" s="187"/>
      <c r="J769" s="182"/>
      <c r="K769" s="182"/>
      <c r="L769" s="187"/>
      <c r="M769" s="182"/>
      <c r="N769" s="182"/>
      <c r="O769" s="182"/>
      <c r="P769" s="182"/>
      <c r="Q769" s="182"/>
      <c r="R769" s="182"/>
      <c r="S769" s="182"/>
      <c r="T769" s="182"/>
      <c r="U769" s="182"/>
      <c r="AA769" s="35"/>
      <c r="AB769" s="35"/>
    </row>
    <row r="770" spans="1:28" x14ac:dyDescent="0.2">
      <c r="A770" s="177"/>
      <c r="B770" s="186"/>
      <c r="C770" s="186"/>
      <c r="D770" s="186"/>
      <c r="E770" s="182"/>
      <c r="F770" s="182"/>
      <c r="G770" s="187"/>
      <c r="H770" s="187"/>
      <c r="I770" s="187"/>
      <c r="J770" s="182"/>
      <c r="K770" s="182"/>
      <c r="L770" s="187"/>
      <c r="M770" s="182"/>
      <c r="N770" s="182"/>
      <c r="O770" s="182"/>
      <c r="P770" s="182"/>
      <c r="Q770" s="182"/>
      <c r="R770" s="182"/>
      <c r="S770" s="182"/>
      <c r="T770" s="182"/>
      <c r="U770" s="182"/>
      <c r="AA770" s="35"/>
      <c r="AB770" s="35"/>
    </row>
    <row r="771" spans="1:28" x14ac:dyDescent="0.2">
      <c r="A771" s="177"/>
      <c r="B771" s="186"/>
      <c r="C771" s="186"/>
      <c r="D771" s="186"/>
      <c r="E771" s="182"/>
      <c r="F771" s="182"/>
      <c r="G771" s="187"/>
      <c r="H771" s="187"/>
      <c r="I771" s="187"/>
      <c r="J771" s="182"/>
      <c r="K771" s="182"/>
      <c r="L771" s="187"/>
      <c r="M771" s="182"/>
      <c r="N771" s="182"/>
      <c r="O771" s="182"/>
      <c r="P771" s="182"/>
      <c r="Q771" s="182"/>
      <c r="R771" s="182"/>
      <c r="S771" s="182"/>
      <c r="T771" s="182"/>
      <c r="U771" s="182"/>
      <c r="AA771" s="35"/>
      <c r="AB771" s="35"/>
    </row>
    <row r="772" spans="1:28" x14ac:dyDescent="0.2">
      <c r="A772" s="177"/>
      <c r="B772" s="186"/>
      <c r="C772" s="186"/>
      <c r="D772" s="186"/>
      <c r="E772" s="182"/>
      <c r="F772" s="182"/>
      <c r="G772" s="187"/>
      <c r="H772" s="187"/>
      <c r="I772" s="187"/>
      <c r="J772" s="182"/>
      <c r="K772" s="182"/>
      <c r="L772" s="187"/>
      <c r="M772" s="182"/>
      <c r="N772" s="182"/>
      <c r="O772" s="182"/>
      <c r="P772" s="182"/>
      <c r="Q772" s="182"/>
      <c r="R772" s="182"/>
      <c r="S772" s="182"/>
      <c r="T772" s="182"/>
      <c r="U772" s="182"/>
      <c r="AA772" s="35"/>
      <c r="AB772" s="35"/>
    </row>
    <row r="773" spans="1:28" x14ac:dyDescent="0.2">
      <c r="A773" s="177"/>
      <c r="B773" s="186"/>
      <c r="C773" s="186"/>
      <c r="D773" s="186"/>
      <c r="E773" s="182"/>
      <c r="F773" s="182"/>
      <c r="G773" s="187"/>
      <c r="H773" s="187"/>
      <c r="I773" s="187"/>
      <c r="J773" s="182"/>
      <c r="K773" s="182"/>
      <c r="L773" s="187"/>
      <c r="M773" s="182"/>
      <c r="N773" s="182"/>
      <c r="O773" s="182"/>
      <c r="P773" s="182"/>
      <c r="Q773" s="182"/>
      <c r="R773" s="182"/>
      <c r="S773" s="182"/>
      <c r="T773" s="182"/>
      <c r="U773" s="182"/>
      <c r="AA773" s="35"/>
      <c r="AB773" s="35"/>
    </row>
    <row r="774" spans="1:28" x14ac:dyDescent="0.2">
      <c r="A774" s="177"/>
      <c r="B774" s="186"/>
      <c r="C774" s="186"/>
      <c r="D774" s="186"/>
      <c r="E774" s="182"/>
      <c r="F774" s="182"/>
      <c r="G774" s="187"/>
      <c r="H774" s="187"/>
      <c r="I774" s="187"/>
      <c r="J774" s="182"/>
      <c r="K774" s="182"/>
      <c r="L774" s="187"/>
      <c r="M774" s="182"/>
      <c r="N774" s="182"/>
      <c r="O774" s="182"/>
      <c r="P774" s="182"/>
      <c r="Q774" s="182"/>
      <c r="R774" s="182"/>
      <c r="S774" s="182"/>
      <c r="T774" s="182"/>
      <c r="U774" s="182"/>
      <c r="AA774" s="35"/>
      <c r="AB774" s="35"/>
    </row>
    <row r="775" spans="1:28" x14ac:dyDescent="0.2">
      <c r="A775" s="177"/>
      <c r="B775" s="186"/>
      <c r="C775" s="186"/>
      <c r="D775" s="186"/>
      <c r="E775" s="182"/>
      <c r="F775" s="182"/>
      <c r="G775" s="187"/>
      <c r="H775" s="187"/>
      <c r="I775" s="187"/>
      <c r="J775" s="182"/>
      <c r="K775" s="182"/>
      <c r="L775" s="187"/>
      <c r="M775" s="182"/>
      <c r="N775" s="182"/>
      <c r="O775" s="182"/>
      <c r="P775" s="182"/>
      <c r="Q775" s="182"/>
      <c r="R775" s="182"/>
      <c r="S775" s="182"/>
      <c r="T775" s="182"/>
      <c r="U775" s="182"/>
      <c r="AA775" s="35"/>
      <c r="AB775" s="35"/>
    </row>
    <row r="776" spans="1:28" x14ac:dyDescent="0.2">
      <c r="A776" s="177"/>
      <c r="B776" s="186"/>
      <c r="C776" s="186"/>
      <c r="D776" s="186"/>
      <c r="E776" s="182"/>
      <c r="F776" s="182"/>
      <c r="G776" s="187"/>
      <c r="H776" s="187"/>
      <c r="I776" s="187"/>
      <c r="J776" s="182"/>
      <c r="K776" s="182"/>
      <c r="L776" s="187"/>
      <c r="M776" s="182"/>
      <c r="N776" s="182"/>
      <c r="O776" s="182"/>
      <c r="P776" s="182"/>
      <c r="Q776" s="182"/>
      <c r="R776" s="182"/>
      <c r="S776" s="182"/>
      <c r="T776" s="182"/>
      <c r="U776" s="182"/>
      <c r="AA776" s="35"/>
      <c r="AB776" s="35"/>
    </row>
    <row r="777" spans="1:28" x14ac:dyDescent="0.2">
      <c r="A777" s="177"/>
      <c r="B777" s="186"/>
      <c r="C777" s="186"/>
      <c r="D777" s="186"/>
      <c r="E777" s="182"/>
      <c r="F777" s="182"/>
      <c r="G777" s="187"/>
      <c r="H777" s="187"/>
      <c r="I777" s="187"/>
      <c r="J777" s="182"/>
      <c r="K777" s="182"/>
      <c r="L777" s="187"/>
      <c r="M777" s="182"/>
      <c r="N777" s="182"/>
      <c r="O777" s="182"/>
      <c r="P777" s="182"/>
      <c r="Q777" s="182"/>
      <c r="R777" s="182"/>
      <c r="S777" s="182"/>
      <c r="T777" s="182"/>
      <c r="U777" s="182"/>
      <c r="AA777" s="35"/>
      <c r="AB777" s="35"/>
    </row>
    <row r="778" spans="1:28" x14ac:dyDescent="0.2">
      <c r="A778" s="177"/>
      <c r="B778" s="186"/>
      <c r="C778" s="186"/>
      <c r="D778" s="186"/>
      <c r="E778" s="182"/>
      <c r="F778" s="182"/>
      <c r="G778" s="187"/>
      <c r="H778" s="187"/>
      <c r="I778" s="187"/>
      <c r="J778" s="182"/>
      <c r="K778" s="182"/>
      <c r="L778" s="187"/>
      <c r="M778" s="182"/>
      <c r="N778" s="182"/>
      <c r="O778" s="182"/>
      <c r="P778" s="182"/>
      <c r="Q778" s="182"/>
      <c r="R778" s="182"/>
      <c r="S778" s="182"/>
      <c r="T778" s="182"/>
      <c r="U778" s="182"/>
      <c r="AA778" s="35"/>
      <c r="AB778" s="35"/>
    </row>
    <row r="779" spans="1:28" x14ac:dyDescent="0.2">
      <c r="A779" s="177"/>
      <c r="B779" s="186"/>
      <c r="C779" s="186"/>
      <c r="D779" s="186"/>
      <c r="E779" s="182"/>
      <c r="F779" s="182"/>
      <c r="G779" s="187"/>
      <c r="H779" s="187"/>
      <c r="I779" s="187"/>
      <c r="J779" s="182"/>
      <c r="K779" s="182"/>
      <c r="L779" s="187"/>
      <c r="M779" s="182"/>
      <c r="N779" s="182"/>
      <c r="O779" s="182"/>
      <c r="P779" s="182"/>
      <c r="Q779" s="182"/>
      <c r="R779" s="182"/>
      <c r="S779" s="182"/>
      <c r="T779" s="182"/>
      <c r="U779" s="182"/>
      <c r="AA779" s="35"/>
      <c r="AB779" s="35"/>
    </row>
    <row r="780" spans="1:28" x14ac:dyDescent="0.2">
      <c r="A780" s="177"/>
      <c r="B780" s="186"/>
      <c r="C780" s="186"/>
      <c r="D780" s="186"/>
      <c r="E780" s="182"/>
      <c r="F780" s="182"/>
      <c r="G780" s="187"/>
      <c r="H780" s="187"/>
      <c r="I780" s="187"/>
      <c r="J780" s="182"/>
      <c r="K780" s="182"/>
      <c r="L780" s="187"/>
      <c r="M780" s="182"/>
      <c r="N780" s="182"/>
      <c r="O780" s="182"/>
      <c r="P780" s="182"/>
      <c r="Q780" s="182"/>
      <c r="R780" s="182"/>
      <c r="S780" s="182"/>
      <c r="T780" s="182"/>
      <c r="U780" s="182"/>
      <c r="AA780" s="35"/>
      <c r="AB780" s="35"/>
    </row>
    <row r="781" spans="1:28" x14ac:dyDescent="0.2">
      <c r="A781" s="177"/>
      <c r="B781" s="186"/>
      <c r="C781" s="186"/>
      <c r="D781" s="186"/>
      <c r="E781" s="182"/>
      <c r="F781" s="182"/>
      <c r="G781" s="187"/>
      <c r="H781" s="187"/>
      <c r="I781" s="187"/>
      <c r="J781" s="182"/>
      <c r="K781" s="182"/>
      <c r="L781" s="187"/>
      <c r="M781" s="182"/>
      <c r="N781" s="182"/>
      <c r="O781" s="182"/>
      <c r="P781" s="182"/>
      <c r="Q781" s="182"/>
      <c r="R781" s="182"/>
      <c r="S781" s="182"/>
      <c r="T781" s="182"/>
      <c r="U781" s="182"/>
      <c r="AA781" s="35"/>
      <c r="AB781" s="35"/>
    </row>
    <row r="782" spans="1:28" x14ac:dyDescent="0.2">
      <c r="A782" s="177"/>
      <c r="B782" s="186"/>
      <c r="C782" s="186"/>
      <c r="D782" s="186"/>
      <c r="E782" s="182"/>
      <c r="F782" s="182"/>
      <c r="G782" s="187"/>
      <c r="H782" s="187"/>
      <c r="I782" s="187"/>
      <c r="J782" s="182"/>
      <c r="K782" s="182"/>
      <c r="L782" s="187"/>
      <c r="M782" s="182"/>
      <c r="N782" s="182"/>
      <c r="O782" s="182"/>
      <c r="P782" s="182"/>
      <c r="Q782" s="182"/>
      <c r="R782" s="182"/>
      <c r="S782" s="182"/>
      <c r="T782" s="182"/>
      <c r="U782" s="182"/>
      <c r="AA782" s="35"/>
      <c r="AB782" s="35"/>
    </row>
    <row r="783" spans="1:28" x14ac:dyDescent="0.2">
      <c r="A783" s="177"/>
      <c r="B783" s="186"/>
      <c r="C783" s="186"/>
      <c r="D783" s="186"/>
      <c r="E783" s="182"/>
      <c r="F783" s="182"/>
      <c r="G783" s="187"/>
      <c r="H783" s="187"/>
      <c r="I783" s="187"/>
      <c r="J783" s="182"/>
      <c r="K783" s="182"/>
      <c r="L783" s="187"/>
      <c r="M783" s="182"/>
      <c r="N783" s="182"/>
      <c r="O783" s="182"/>
      <c r="P783" s="182"/>
      <c r="Q783" s="182"/>
      <c r="R783" s="182"/>
      <c r="S783" s="182"/>
      <c r="T783" s="182"/>
      <c r="U783" s="182"/>
      <c r="AA783" s="35"/>
      <c r="AB783" s="35"/>
    </row>
    <row r="784" spans="1:28" x14ac:dyDescent="0.2">
      <c r="A784" s="177"/>
      <c r="B784" s="186"/>
      <c r="C784" s="186"/>
      <c r="D784" s="186"/>
      <c r="E784" s="182"/>
      <c r="F784" s="182"/>
      <c r="G784" s="187"/>
      <c r="H784" s="187"/>
      <c r="I784" s="187"/>
      <c r="J784" s="182"/>
      <c r="K784" s="182"/>
      <c r="L784" s="187"/>
      <c r="M784" s="182"/>
      <c r="N784" s="182"/>
      <c r="O784" s="182"/>
      <c r="P784" s="182"/>
      <c r="Q784" s="182"/>
      <c r="R784" s="182"/>
      <c r="S784" s="182"/>
      <c r="T784" s="182"/>
      <c r="U784" s="182"/>
      <c r="AA784" s="35"/>
      <c r="AB784" s="35"/>
    </row>
    <row r="785" spans="1:28" x14ac:dyDescent="0.2">
      <c r="A785" s="177"/>
      <c r="B785" s="186"/>
      <c r="C785" s="186"/>
      <c r="D785" s="186"/>
      <c r="E785" s="182"/>
      <c r="F785" s="182"/>
      <c r="G785" s="187"/>
      <c r="H785" s="187"/>
      <c r="I785" s="187"/>
      <c r="J785" s="182"/>
      <c r="K785" s="182"/>
      <c r="L785" s="187"/>
      <c r="M785" s="182"/>
      <c r="N785" s="182"/>
      <c r="O785" s="182"/>
      <c r="P785" s="182"/>
      <c r="Q785" s="182"/>
      <c r="R785" s="182"/>
      <c r="S785" s="182"/>
      <c r="T785" s="182"/>
      <c r="U785" s="182"/>
      <c r="AA785" s="35"/>
      <c r="AB785" s="35"/>
    </row>
    <row r="786" spans="1:28" x14ac:dyDescent="0.2">
      <c r="A786" s="177"/>
      <c r="B786" s="186"/>
      <c r="C786" s="186"/>
      <c r="D786" s="186"/>
      <c r="E786" s="182"/>
      <c r="F786" s="182"/>
      <c r="G786" s="187"/>
      <c r="H786" s="187"/>
      <c r="I786" s="187"/>
      <c r="J786" s="182"/>
      <c r="K786" s="182"/>
      <c r="L786" s="187"/>
      <c r="M786" s="182"/>
      <c r="N786" s="182"/>
      <c r="O786" s="182"/>
      <c r="P786" s="182"/>
      <c r="Q786" s="182"/>
      <c r="R786" s="182"/>
      <c r="S786" s="182"/>
      <c r="T786" s="182"/>
      <c r="U786" s="182"/>
      <c r="AA786" s="35"/>
      <c r="AB786" s="35"/>
    </row>
    <row r="787" spans="1:28" x14ac:dyDescent="0.2">
      <c r="A787" s="177"/>
      <c r="B787" s="186"/>
      <c r="C787" s="186"/>
      <c r="D787" s="186"/>
      <c r="E787" s="182"/>
      <c r="F787" s="182"/>
      <c r="G787" s="187"/>
      <c r="H787" s="187"/>
      <c r="I787" s="187"/>
      <c r="J787" s="182"/>
      <c r="K787" s="182"/>
      <c r="L787" s="187"/>
      <c r="M787" s="182"/>
      <c r="N787" s="182"/>
      <c r="O787" s="182"/>
      <c r="P787" s="182"/>
      <c r="Q787" s="182"/>
      <c r="R787" s="182"/>
      <c r="S787" s="182"/>
      <c r="T787" s="182"/>
      <c r="U787" s="182"/>
      <c r="AA787" s="35"/>
      <c r="AB787" s="35"/>
    </row>
    <row r="788" spans="1:28" x14ac:dyDescent="0.2">
      <c r="A788" s="177"/>
      <c r="B788" s="186"/>
      <c r="C788" s="186"/>
      <c r="D788" s="186"/>
      <c r="E788" s="182"/>
      <c r="F788" s="182"/>
      <c r="G788" s="187"/>
      <c r="H788" s="187"/>
      <c r="I788" s="187"/>
      <c r="J788" s="182"/>
      <c r="K788" s="182"/>
      <c r="L788" s="187"/>
      <c r="M788" s="182"/>
      <c r="N788" s="182"/>
      <c r="O788" s="182"/>
      <c r="P788" s="182"/>
      <c r="Q788" s="182"/>
      <c r="R788" s="182"/>
      <c r="S788" s="182"/>
      <c r="T788" s="182"/>
      <c r="U788" s="182"/>
      <c r="AA788" s="35"/>
      <c r="AB788" s="35"/>
    </row>
    <row r="789" spans="1:28" x14ac:dyDescent="0.2">
      <c r="A789" s="177"/>
      <c r="B789" s="186"/>
      <c r="C789" s="186"/>
      <c r="D789" s="186"/>
      <c r="E789" s="182"/>
      <c r="F789" s="182"/>
      <c r="G789" s="187"/>
      <c r="H789" s="187"/>
      <c r="I789" s="187"/>
      <c r="J789" s="182"/>
      <c r="K789" s="182"/>
      <c r="L789" s="187"/>
      <c r="M789" s="182"/>
      <c r="N789" s="182"/>
      <c r="O789" s="182"/>
      <c r="P789" s="182"/>
      <c r="Q789" s="182"/>
      <c r="R789" s="182"/>
      <c r="S789" s="182"/>
      <c r="T789" s="182"/>
      <c r="U789" s="182"/>
      <c r="AA789" s="35"/>
      <c r="AB789" s="35"/>
    </row>
    <row r="790" spans="1:28" x14ac:dyDescent="0.2">
      <c r="A790" s="177"/>
      <c r="B790" s="186"/>
      <c r="C790" s="186"/>
      <c r="D790" s="186"/>
      <c r="E790" s="182"/>
      <c r="F790" s="182"/>
      <c r="G790" s="187"/>
      <c r="H790" s="187"/>
      <c r="I790" s="187"/>
      <c r="J790" s="182"/>
      <c r="K790" s="182"/>
      <c r="L790" s="187"/>
      <c r="M790" s="182"/>
      <c r="N790" s="182"/>
      <c r="O790" s="182"/>
      <c r="P790" s="182"/>
      <c r="Q790" s="182"/>
      <c r="R790" s="182"/>
      <c r="S790" s="182"/>
      <c r="T790" s="182"/>
      <c r="U790" s="182"/>
      <c r="AA790" s="35"/>
      <c r="AB790" s="35"/>
    </row>
    <row r="791" spans="1:28" x14ac:dyDescent="0.2">
      <c r="A791" s="177"/>
      <c r="B791" s="186"/>
      <c r="C791" s="186"/>
      <c r="D791" s="186"/>
      <c r="E791" s="182"/>
      <c r="F791" s="182"/>
      <c r="G791" s="187"/>
      <c r="H791" s="187"/>
      <c r="I791" s="187"/>
      <c r="J791" s="182"/>
      <c r="K791" s="182"/>
      <c r="L791" s="187"/>
      <c r="M791" s="182"/>
      <c r="N791" s="182"/>
      <c r="O791" s="182"/>
      <c r="P791" s="182"/>
      <c r="Q791" s="182"/>
      <c r="R791" s="182"/>
      <c r="S791" s="182"/>
      <c r="T791" s="182"/>
      <c r="U791" s="182"/>
      <c r="AA791" s="35"/>
      <c r="AB791" s="35"/>
    </row>
    <row r="792" spans="1:28" x14ac:dyDescent="0.2">
      <c r="A792" s="177"/>
      <c r="B792" s="186"/>
      <c r="C792" s="186"/>
      <c r="D792" s="186"/>
      <c r="E792" s="182"/>
      <c r="F792" s="182"/>
      <c r="G792" s="187"/>
      <c r="H792" s="187"/>
      <c r="I792" s="187"/>
      <c r="J792" s="182"/>
      <c r="K792" s="182"/>
      <c r="L792" s="187"/>
      <c r="M792" s="182"/>
      <c r="N792" s="182"/>
      <c r="O792" s="182"/>
      <c r="P792" s="182"/>
      <c r="Q792" s="182"/>
      <c r="R792" s="182"/>
      <c r="S792" s="182"/>
      <c r="T792" s="182"/>
      <c r="U792" s="182"/>
      <c r="AA792" s="35"/>
      <c r="AB792" s="35"/>
    </row>
    <row r="793" spans="1:28" x14ac:dyDescent="0.2">
      <c r="A793" s="177"/>
      <c r="B793" s="186"/>
      <c r="C793" s="186"/>
      <c r="D793" s="186"/>
      <c r="E793" s="182"/>
      <c r="F793" s="182"/>
      <c r="G793" s="187"/>
      <c r="H793" s="187"/>
      <c r="I793" s="187"/>
      <c r="J793" s="182"/>
      <c r="K793" s="182"/>
      <c r="L793" s="187"/>
      <c r="M793" s="182"/>
      <c r="N793" s="182"/>
      <c r="O793" s="182"/>
      <c r="P793" s="182"/>
      <c r="Q793" s="182"/>
      <c r="R793" s="182"/>
      <c r="S793" s="182"/>
      <c r="T793" s="182"/>
      <c r="U793" s="182"/>
      <c r="AA793" s="35"/>
      <c r="AB793" s="35"/>
    </row>
    <row r="794" spans="1:28" x14ac:dyDescent="0.2">
      <c r="A794" s="177"/>
      <c r="B794" s="186"/>
      <c r="C794" s="186"/>
      <c r="D794" s="186"/>
      <c r="E794" s="182"/>
      <c r="F794" s="182"/>
      <c r="G794" s="187"/>
      <c r="H794" s="187"/>
      <c r="I794" s="187"/>
      <c r="J794" s="182"/>
      <c r="K794" s="182"/>
      <c r="L794" s="187"/>
      <c r="M794" s="182"/>
      <c r="N794" s="182"/>
      <c r="O794" s="182"/>
      <c r="P794" s="182"/>
      <c r="Q794" s="182"/>
      <c r="R794" s="182"/>
      <c r="S794" s="182"/>
      <c r="T794" s="182"/>
      <c r="U794" s="182"/>
      <c r="AA794" s="35"/>
      <c r="AB794" s="35"/>
    </row>
    <row r="795" spans="1:28" x14ac:dyDescent="0.2">
      <c r="A795" s="177"/>
      <c r="B795" s="186"/>
      <c r="C795" s="186"/>
      <c r="D795" s="186"/>
      <c r="E795" s="182"/>
      <c r="F795" s="182"/>
      <c r="G795" s="187"/>
      <c r="H795" s="187"/>
      <c r="I795" s="187"/>
      <c r="J795" s="182"/>
      <c r="K795" s="182"/>
      <c r="L795" s="187"/>
      <c r="M795" s="182"/>
      <c r="N795" s="182"/>
      <c r="O795" s="182"/>
      <c r="P795" s="182"/>
      <c r="Q795" s="182"/>
      <c r="R795" s="182"/>
      <c r="S795" s="182"/>
      <c r="T795" s="182"/>
      <c r="U795" s="182"/>
      <c r="AA795" s="35"/>
      <c r="AB795" s="35"/>
    </row>
    <row r="796" spans="1:28" x14ac:dyDescent="0.2">
      <c r="A796" s="177"/>
      <c r="B796" s="186"/>
      <c r="C796" s="186"/>
      <c r="D796" s="186"/>
      <c r="E796" s="182"/>
      <c r="F796" s="182"/>
      <c r="G796" s="187"/>
      <c r="H796" s="187"/>
      <c r="I796" s="187"/>
      <c r="J796" s="182"/>
      <c r="K796" s="182"/>
      <c r="L796" s="187"/>
      <c r="M796" s="182"/>
      <c r="N796" s="182"/>
      <c r="O796" s="182"/>
      <c r="P796" s="182"/>
      <c r="Q796" s="182"/>
      <c r="R796" s="182"/>
      <c r="S796" s="182"/>
      <c r="T796" s="182"/>
      <c r="U796" s="182"/>
      <c r="AA796" s="35"/>
      <c r="AB796" s="35"/>
    </row>
    <row r="797" spans="1:28" x14ac:dyDescent="0.2">
      <c r="A797" s="177"/>
      <c r="B797" s="186"/>
      <c r="C797" s="186"/>
      <c r="D797" s="186"/>
      <c r="E797" s="182"/>
      <c r="F797" s="182"/>
      <c r="G797" s="187"/>
      <c r="H797" s="187"/>
      <c r="I797" s="187"/>
      <c r="J797" s="182"/>
      <c r="K797" s="182"/>
      <c r="L797" s="187"/>
      <c r="M797" s="182"/>
      <c r="N797" s="182"/>
      <c r="O797" s="182"/>
      <c r="P797" s="182"/>
      <c r="Q797" s="182"/>
      <c r="R797" s="182"/>
      <c r="S797" s="182"/>
      <c r="T797" s="182"/>
      <c r="U797" s="182"/>
      <c r="AA797" s="35"/>
      <c r="AB797" s="35"/>
    </row>
    <row r="798" spans="1:28" x14ac:dyDescent="0.2">
      <c r="A798" s="177"/>
      <c r="B798" s="186"/>
      <c r="C798" s="186"/>
      <c r="D798" s="186"/>
      <c r="E798" s="182"/>
      <c r="F798" s="182"/>
      <c r="G798" s="187"/>
      <c r="H798" s="187"/>
      <c r="I798" s="187"/>
      <c r="J798" s="182"/>
      <c r="K798" s="182"/>
      <c r="L798" s="187"/>
      <c r="M798" s="182"/>
      <c r="N798" s="182"/>
      <c r="O798" s="182"/>
      <c r="P798" s="182"/>
      <c r="Q798" s="182"/>
      <c r="R798" s="182"/>
      <c r="S798" s="182"/>
      <c r="T798" s="182"/>
      <c r="U798" s="182"/>
      <c r="AA798" s="35"/>
      <c r="AB798" s="35"/>
    </row>
    <row r="799" spans="1:28" x14ac:dyDescent="0.2">
      <c r="A799" s="177"/>
      <c r="B799" s="186"/>
      <c r="C799" s="186"/>
      <c r="D799" s="186"/>
      <c r="E799" s="182"/>
      <c r="F799" s="182"/>
      <c r="G799" s="187"/>
      <c r="H799" s="187"/>
      <c r="I799" s="187"/>
      <c r="J799" s="182"/>
      <c r="K799" s="182"/>
      <c r="L799" s="187"/>
      <c r="M799" s="182"/>
      <c r="N799" s="182"/>
      <c r="O799" s="182"/>
      <c r="P799" s="182"/>
      <c r="Q799" s="182"/>
      <c r="R799" s="182"/>
      <c r="S799" s="182"/>
      <c r="T799" s="182"/>
      <c r="U799" s="182"/>
      <c r="AA799" s="35"/>
      <c r="AB799" s="35"/>
    </row>
    <row r="800" spans="1:28" x14ac:dyDescent="0.2">
      <c r="A800" s="177"/>
      <c r="B800" s="186"/>
      <c r="C800" s="186"/>
      <c r="D800" s="186"/>
      <c r="E800" s="182"/>
      <c r="F800" s="182"/>
      <c r="G800" s="187"/>
      <c r="H800" s="187"/>
      <c r="I800" s="187"/>
      <c r="J800" s="182"/>
      <c r="K800" s="182"/>
      <c r="L800" s="187"/>
      <c r="M800" s="182"/>
      <c r="N800" s="182"/>
      <c r="O800" s="182"/>
      <c r="P800" s="182"/>
      <c r="Q800" s="182"/>
      <c r="R800" s="182"/>
      <c r="S800" s="182"/>
      <c r="T800" s="182"/>
      <c r="U800" s="182"/>
      <c r="AA800" s="35"/>
      <c r="AB800" s="35"/>
    </row>
    <row r="801" spans="1:28" x14ac:dyDescent="0.2">
      <c r="A801" s="177"/>
      <c r="B801" s="186"/>
      <c r="C801" s="186"/>
      <c r="D801" s="186"/>
      <c r="E801" s="182"/>
      <c r="F801" s="182"/>
      <c r="G801" s="187"/>
      <c r="H801" s="187"/>
      <c r="I801" s="187"/>
      <c r="J801" s="182"/>
      <c r="K801" s="182"/>
      <c r="L801" s="187"/>
      <c r="M801" s="182"/>
      <c r="N801" s="182"/>
      <c r="O801" s="182"/>
      <c r="P801" s="182"/>
      <c r="Q801" s="182"/>
      <c r="R801" s="182"/>
      <c r="S801" s="182"/>
      <c r="T801" s="182"/>
      <c r="U801" s="182"/>
      <c r="AA801" s="35"/>
      <c r="AB801" s="35"/>
    </row>
    <row r="802" spans="1:28" x14ac:dyDescent="0.2">
      <c r="B802" s="182"/>
      <c r="C802" s="182"/>
      <c r="D802" s="182"/>
      <c r="E802" s="182"/>
      <c r="F802" s="182"/>
      <c r="I802" s="40"/>
      <c r="J802" s="186"/>
      <c r="K802" s="186"/>
      <c r="L802" s="186"/>
      <c r="M802" s="186"/>
      <c r="N802" s="186"/>
      <c r="O802" s="186"/>
      <c r="P802" s="186"/>
      <c r="Q802" s="182"/>
      <c r="R802" s="182"/>
      <c r="S802" s="182"/>
      <c r="T802" s="186"/>
      <c r="U802" s="186"/>
      <c r="AA802" s="35"/>
      <c r="AB802" s="35"/>
    </row>
    <row r="803" spans="1:28" ht="15" x14ac:dyDescent="0.2">
      <c r="A803" s="188"/>
      <c r="B803" s="32"/>
      <c r="C803" s="32"/>
      <c r="D803" s="32"/>
      <c r="E803" s="32"/>
      <c r="F803" s="32"/>
      <c r="G803" s="32"/>
      <c r="I803" s="40"/>
      <c r="J803" s="186"/>
      <c r="K803" s="186"/>
      <c r="L803" s="186"/>
      <c r="M803" s="186"/>
      <c r="N803" s="186"/>
      <c r="O803" s="186"/>
      <c r="P803" s="186"/>
      <c r="Q803" s="182"/>
      <c r="R803" s="182"/>
      <c r="S803" s="182"/>
      <c r="T803" s="186"/>
      <c r="U803" s="186"/>
      <c r="AA803" s="35"/>
      <c r="AB803" s="35"/>
    </row>
    <row r="804" spans="1:28" x14ac:dyDescent="0.2">
      <c r="A804" s="12"/>
      <c r="D804" s="182"/>
      <c r="E804" s="182"/>
      <c r="F804" s="182"/>
      <c r="I804" s="40"/>
      <c r="J804" s="186"/>
      <c r="K804" s="186"/>
      <c r="L804" s="186"/>
      <c r="M804" s="186"/>
      <c r="N804" s="186"/>
      <c r="O804" s="186"/>
      <c r="P804" s="186"/>
      <c r="Q804" s="182"/>
      <c r="R804" s="182"/>
      <c r="S804" s="182"/>
      <c r="T804" s="186"/>
      <c r="U804" s="186"/>
      <c r="AA804" s="35"/>
      <c r="AB804" s="35"/>
    </row>
    <row r="805" spans="1:28" x14ac:dyDescent="0.2">
      <c r="A805" s="12"/>
      <c r="B805" s="182"/>
      <c r="D805" s="182"/>
      <c r="E805" s="182"/>
      <c r="F805" s="182"/>
      <c r="I805" s="40"/>
      <c r="J805" s="186"/>
      <c r="K805" s="186"/>
      <c r="L805" s="186"/>
      <c r="M805" s="186"/>
      <c r="N805" s="186"/>
      <c r="O805" s="186"/>
      <c r="P805" s="186"/>
      <c r="Q805" s="182"/>
      <c r="R805" s="182"/>
      <c r="S805" s="182"/>
      <c r="T805" s="186"/>
      <c r="U805" s="186"/>
      <c r="AA805" s="35"/>
      <c r="AB805" s="35"/>
    </row>
    <row r="806" spans="1:28" x14ac:dyDescent="0.2">
      <c r="A806" s="12"/>
      <c r="B806" s="182"/>
      <c r="D806" s="182"/>
      <c r="E806" s="182"/>
      <c r="F806" s="182"/>
      <c r="I806" s="40"/>
      <c r="J806" s="186"/>
      <c r="K806" s="186"/>
      <c r="L806" s="186"/>
      <c r="M806" s="186"/>
      <c r="N806" s="186"/>
      <c r="O806" s="186"/>
      <c r="P806" s="186"/>
      <c r="Q806" s="182"/>
      <c r="R806" s="182"/>
      <c r="S806" s="182"/>
      <c r="T806" s="186"/>
      <c r="U806" s="186"/>
      <c r="AA806" s="35"/>
      <c r="AB806" s="35"/>
    </row>
    <row r="807" spans="1:28" x14ac:dyDescent="0.2">
      <c r="A807" s="12"/>
      <c r="B807" s="182"/>
      <c r="D807" s="182"/>
      <c r="E807" s="182"/>
      <c r="F807" s="182"/>
      <c r="I807" s="40"/>
      <c r="J807" s="186"/>
      <c r="K807" s="186"/>
      <c r="L807" s="186"/>
      <c r="M807" s="186"/>
      <c r="N807" s="186"/>
      <c r="O807" s="186"/>
      <c r="P807" s="186"/>
      <c r="Q807" s="182"/>
      <c r="R807" s="182"/>
      <c r="S807" s="182"/>
      <c r="T807" s="186"/>
      <c r="U807" s="186"/>
      <c r="AA807" s="35"/>
      <c r="AB807" s="35"/>
    </row>
    <row r="808" spans="1:28" x14ac:dyDescent="0.2">
      <c r="B808" s="182"/>
      <c r="C808" s="182"/>
      <c r="D808" s="182"/>
      <c r="E808" s="182"/>
      <c r="F808" s="182"/>
      <c r="I808" s="40"/>
      <c r="J808" s="186"/>
      <c r="K808" s="186"/>
      <c r="L808" s="186"/>
      <c r="M808" s="186"/>
      <c r="N808" s="186"/>
      <c r="O808" s="186"/>
      <c r="P808" s="186"/>
      <c r="Q808" s="182"/>
      <c r="R808" s="182"/>
      <c r="S808" s="182"/>
      <c r="T808" s="186"/>
      <c r="U808" s="186"/>
      <c r="AA808" s="35"/>
      <c r="AB808" s="35"/>
    </row>
    <row r="809" spans="1:28" ht="15" x14ac:dyDescent="0.25">
      <c r="A809" s="12"/>
      <c r="B809" s="173"/>
      <c r="C809" s="173"/>
      <c r="D809" s="173"/>
      <c r="E809" s="173"/>
      <c r="F809" s="173"/>
      <c r="G809" s="173"/>
      <c r="H809" s="173"/>
      <c r="I809" s="173"/>
      <c r="J809" s="173"/>
      <c r="K809" s="173"/>
      <c r="L809" s="173"/>
      <c r="M809" s="173"/>
      <c r="N809" s="173"/>
      <c r="O809" s="173"/>
      <c r="P809" s="173"/>
      <c r="Q809" s="173"/>
      <c r="R809" s="173"/>
      <c r="S809" s="173"/>
      <c r="T809" s="173"/>
      <c r="U809" s="173"/>
      <c r="V809" s="275"/>
      <c r="W809" s="8"/>
      <c r="X809" s="8"/>
      <c r="AA809" s="35"/>
      <c r="AB809" s="35"/>
    </row>
    <row r="810" spans="1:28" x14ac:dyDescent="0.2">
      <c r="A810" s="189"/>
      <c r="B810" s="174"/>
      <c r="C810" s="174"/>
      <c r="D810" s="174"/>
      <c r="E810" s="174"/>
      <c r="F810" s="174"/>
      <c r="G810" s="174"/>
      <c r="H810" s="174"/>
      <c r="I810" s="174"/>
      <c r="J810" s="174"/>
      <c r="K810" s="174"/>
      <c r="L810" s="174"/>
      <c r="M810" s="174"/>
      <c r="N810" s="174"/>
      <c r="O810" s="174"/>
      <c r="P810" s="174"/>
      <c r="Q810" s="174"/>
      <c r="R810" s="174"/>
      <c r="S810" s="174"/>
      <c r="T810" s="174"/>
      <c r="U810" s="174"/>
      <c r="V810" s="276"/>
      <c r="W810" s="174"/>
      <c r="X810" s="174"/>
      <c r="AA810" s="35"/>
      <c r="AB810" s="35"/>
    </row>
    <row r="811" spans="1:28" ht="15" x14ac:dyDescent="0.25">
      <c r="A811" s="178"/>
      <c r="B811" s="169"/>
      <c r="C811" s="169"/>
      <c r="D811" s="169"/>
      <c r="E811" s="169"/>
      <c r="F811" s="169"/>
      <c r="G811" s="169"/>
      <c r="H811" s="169"/>
      <c r="I811" s="169"/>
      <c r="J811" s="169"/>
      <c r="K811" s="169"/>
      <c r="L811" s="169"/>
      <c r="M811" s="169"/>
      <c r="N811" s="169"/>
      <c r="O811" s="169"/>
      <c r="P811" s="169"/>
      <c r="Q811" s="169"/>
      <c r="R811" s="169"/>
      <c r="S811" s="169"/>
      <c r="T811" s="169"/>
      <c r="U811" s="169"/>
      <c r="V811" s="175"/>
      <c r="W811" s="175"/>
      <c r="X811" s="175"/>
      <c r="AA811" s="35"/>
      <c r="AB811" s="35"/>
    </row>
    <row r="812" spans="1:28" ht="15" x14ac:dyDescent="0.25">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277"/>
      <c r="W812" s="176"/>
      <c r="X812" s="176"/>
      <c r="AA812" s="35"/>
      <c r="AB812" s="35"/>
    </row>
    <row r="813" spans="1:28" x14ac:dyDescent="0.2">
      <c r="A813" s="177"/>
      <c r="B813" s="186"/>
      <c r="C813" s="186"/>
      <c r="D813" s="186"/>
      <c r="E813" s="182"/>
      <c r="F813" s="182"/>
      <c r="G813" s="187"/>
      <c r="H813" s="187"/>
      <c r="I813" s="187"/>
      <c r="J813" s="182"/>
      <c r="K813" s="182"/>
      <c r="L813" s="187"/>
      <c r="M813" s="182"/>
      <c r="N813" s="182"/>
      <c r="O813" s="182"/>
      <c r="P813" s="182"/>
      <c r="Q813" s="182"/>
      <c r="R813" s="182"/>
      <c r="S813" s="182"/>
      <c r="T813" s="182"/>
      <c r="U813" s="182"/>
      <c r="AA813" s="35"/>
      <c r="AB813" s="35"/>
    </row>
    <row r="814" spans="1:28" x14ac:dyDescent="0.2">
      <c r="A814" s="177"/>
      <c r="B814" s="186"/>
      <c r="C814" s="186"/>
      <c r="D814" s="186"/>
      <c r="E814" s="182"/>
      <c r="F814" s="182"/>
      <c r="G814" s="187"/>
      <c r="H814" s="187"/>
      <c r="I814" s="40"/>
      <c r="J814" s="186"/>
      <c r="K814" s="186"/>
      <c r="L814" s="186"/>
      <c r="M814" s="186"/>
      <c r="N814" s="186"/>
      <c r="O814" s="186"/>
      <c r="P814" s="186"/>
      <c r="Q814" s="182"/>
      <c r="R814" s="182"/>
      <c r="S814" s="182"/>
      <c r="T814" s="186"/>
      <c r="U814" s="186"/>
      <c r="AA814" s="35"/>
      <c r="AB814" s="35"/>
    </row>
    <row r="815" spans="1:28" ht="15" x14ac:dyDescent="0.2">
      <c r="A815" s="188"/>
      <c r="B815" s="32"/>
      <c r="C815" s="32"/>
      <c r="D815" s="32"/>
      <c r="E815" s="32"/>
      <c r="F815" s="32"/>
      <c r="G815" s="32"/>
      <c r="I815" s="40"/>
      <c r="J815" s="186"/>
      <c r="K815" s="186"/>
      <c r="L815" s="186"/>
      <c r="M815" s="186"/>
      <c r="N815" s="186"/>
      <c r="O815" s="186"/>
      <c r="P815" s="186"/>
      <c r="Q815" s="182"/>
      <c r="R815" s="182"/>
      <c r="S815" s="182"/>
      <c r="T815" s="186"/>
      <c r="U815" s="186"/>
      <c r="AA815" s="35"/>
      <c r="AB815" s="35"/>
    </row>
    <row r="816" spans="1:28" x14ac:dyDescent="0.2">
      <c r="A816" s="12"/>
      <c r="D816" s="182"/>
      <c r="E816" s="182"/>
      <c r="F816" s="182"/>
      <c r="I816" s="40"/>
      <c r="J816" s="186"/>
      <c r="K816" s="186"/>
      <c r="L816" s="186"/>
      <c r="M816" s="186"/>
      <c r="N816" s="186"/>
      <c r="O816" s="186"/>
      <c r="P816" s="186"/>
      <c r="Q816" s="182"/>
      <c r="R816" s="182"/>
      <c r="S816" s="182"/>
      <c r="T816" s="186"/>
      <c r="U816" s="186"/>
      <c r="AA816" s="35"/>
      <c r="AB816" s="35"/>
    </row>
    <row r="817" spans="1:28" x14ac:dyDescent="0.2">
      <c r="A817" s="12"/>
      <c r="B817" s="182"/>
      <c r="D817" s="182"/>
      <c r="E817" s="182"/>
      <c r="F817" s="182"/>
      <c r="I817" s="40"/>
      <c r="J817" s="186"/>
      <c r="K817" s="186"/>
      <c r="L817" s="186"/>
      <c r="M817" s="186"/>
      <c r="N817" s="186"/>
      <c r="O817" s="186"/>
      <c r="P817" s="186"/>
      <c r="Q817" s="182"/>
      <c r="R817" s="182"/>
      <c r="S817" s="182"/>
      <c r="T817" s="186"/>
      <c r="U817" s="186"/>
      <c r="AA817" s="35"/>
      <c r="AB817" s="35"/>
    </row>
    <row r="818" spans="1:28" x14ac:dyDescent="0.2">
      <c r="A818" s="12"/>
      <c r="B818" s="182"/>
      <c r="D818" s="182"/>
      <c r="E818" s="182"/>
      <c r="F818" s="182"/>
      <c r="I818" s="40"/>
      <c r="J818" s="186"/>
      <c r="K818" s="186"/>
      <c r="L818" s="186"/>
      <c r="M818" s="186"/>
      <c r="N818" s="186"/>
      <c r="O818" s="186"/>
      <c r="P818" s="186"/>
      <c r="Q818" s="182"/>
      <c r="R818" s="182"/>
      <c r="S818" s="182"/>
      <c r="T818" s="186"/>
      <c r="U818" s="186"/>
      <c r="AA818" s="35"/>
      <c r="AB818" s="35"/>
    </row>
    <row r="819" spans="1:28" x14ac:dyDescent="0.2">
      <c r="A819" s="12"/>
      <c r="B819" s="182"/>
      <c r="D819" s="182"/>
      <c r="E819" s="182"/>
      <c r="F819" s="182"/>
      <c r="I819" s="40"/>
      <c r="J819" s="186"/>
      <c r="K819" s="186"/>
      <c r="L819" s="186"/>
      <c r="M819" s="186"/>
      <c r="N819" s="186"/>
      <c r="O819" s="186"/>
      <c r="P819" s="186"/>
      <c r="Q819" s="182"/>
      <c r="R819" s="182"/>
      <c r="S819" s="182"/>
      <c r="T819" s="186"/>
      <c r="U819" s="186"/>
      <c r="AA819" s="35"/>
      <c r="AB819" s="35"/>
    </row>
    <row r="820" spans="1:28" x14ac:dyDescent="0.2">
      <c r="B820" s="182"/>
      <c r="C820" s="182"/>
      <c r="D820" s="182"/>
      <c r="E820" s="182"/>
      <c r="F820" s="182"/>
      <c r="I820" s="40"/>
      <c r="J820" s="186"/>
      <c r="K820" s="186"/>
      <c r="L820" s="186"/>
      <c r="M820" s="186"/>
      <c r="N820" s="186"/>
      <c r="O820" s="186"/>
      <c r="P820" s="186"/>
      <c r="Q820" s="182"/>
      <c r="R820" s="182"/>
      <c r="S820" s="182"/>
      <c r="T820" s="186"/>
      <c r="U820" s="186"/>
      <c r="AA820" s="35"/>
      <c r="AB820" s="35"/>
    </row>
    <row r="821" spans="1:28" ht="15" x14ac:dyDescent="0.25">
      <c r="A821" s="12"/>
      <c r="B821" s="173"/>
      <c r="C821" s="173"/>
      <c r="D821" s="173"/>
      <c r="E821" s="173"/>
      <c r="F821" s="173"/>
      <c r="G821" s="173"/>
      <c r="H821" s="173"/>
      <c r="I821" s="173"/>
      <c r="J821" s="173"/>
      <c r="K821" s="173"/>
      <c r="L821" s="173"/>
      <c r="M821" s="173"/>
      <c r="N821" s="173"/>
      <c r="O821" s="173"/>
      <c r="P821" s="173"/>
      <c r="Q821" s="173"/>
      <c r="R821" s="173"/>
      <c r="S821" s="173"/>
      <c r="T821" s="173"/>
      <c r="U821" s="173"/>
      <c r="V821" s="275"/>
      <c r="W821" s="8"/>
      <c r="X821" s="8"/>
      <c r="AA821" s="35"/>
      <c r="AB821" s="35"/>
    </row>
    <row r="822" spans="1:28" x14ac:dyDescent="0.2">
      <c r="A822" s="189"/>
      <c r="B822" s="174"/>
      <c r="C822" s="174"/>
      <c r="D822" s="174"/>
      <c r="E822" s="174"/>
      <c r="F822" s="174"/>
      <c r="G822" s="174"/>
      <c r="H822" s="174"/>
      <c r="I822" s="174"/>
      <c r="J822" s="174"/>
      <c r="K822" s="174"/>
      <c r="L822" s="174"/>
      <c r="M822" s="174"/>
      <c r="N822" s="174"/>
      <c r="O822" s="174"/>
      <c r="P822" s="174"/>
      <c r="Q822" s="174"/>
      <c r="R822" s="174"/>
      <c r="S822" s="174"/>
      <c r="T822" s="174"/>
      <c r="U822" s="174"/>
      <c r="V822" s="276"/>
      <c r="W822" s="174"/>
      <c r="X822" s="174"/>
      <c r="AA822" s="35"/>
      <c r="AB822" s="35"/>
    </row>
    <row r="823" spans="1:28" ht="15" x14ac:dyDescent="0.25">
      <c r="A823" s="178"/>
      <c r="B823" s="169"/>
      <c r="C823" s="169"/>
      <c r="D823" s="169"/>
      <c r="E823" s="169"/>
      <c r="F823" s="169"/>
      <c r="G823" s="169"/>
      <c r="H823" s="169"/>
      <c r="I823" s="169"/>
      <c r="J823" s="169"/>
      <c r="K823" s="169"/>
      <c r="L823" s="169"/>
      <c r="M823" s="169"/>
      <c r="N823" s="169"/>
      <c r="O823" s="169"/>
      <c r="P823" s="169"/>
      <c r="Q823" s="169"/>
      <c r="R823" s="169"/>
      <c r="S823" s="169"/>
      <c r="T823" s="169"/>
      <c r="U823" s="169"/>
      <c r="V823" s="175"/>
      <c r="W823" s="175"/>
      <c r="X823" s="175"/>
      <c r="AA823" s="35"/>
      <c r="AB823" s="35"/>
    </row>
    <row r="824" spans="1:28" ht="15" x14ac:dyDescent="0.25">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277"/>
      <c r="W824" s="176"/>
      <c r="X824" s="176"/>
      <c r="AA824" s="35"/>
      <c r="AB824" s="35"/>
    </row>
    <row r="825" spans="1:28" x14ac:dyDescent="0.2">
      <c r="A825" s="177"/>
      <c r="B825" s="186"/>
      <c r="C825" s="186"/>
      <c r="D825" s="186"/>
      <c r="E825" s="182"/>
      <c r="F825" s="182"/>
      <c r="G825" s="187"/>
      <c r="H825" s="187"/>
      <c r="I825" s="187"/>
      <c r="J825" s="182"/>
      <c r="K825" s="182"/>
      <c r="L825" s="187"/>
      <c r="M825" s="182"/>
      <c r="N825" s="182"/>
      <c r="O825" s="182"/>
      <c r="P825" s="182"/>
      <c r="Q825" s="182"/>
      <c r="R825" s="182"/>
      <c r="S825" s="182"/>
      <c r="T825" s="182"/>
      <c r="U825" s="182"/>
      <c r="AA825" s="35"/>
      <c r="AB825" s="35"/>
    </row>
    <row r="826" spans="1:28" x14ac:dyDescent="0.2">
      <c r="A826" s="177"/>
      <c r="B826" s="186"/>
      <c r="C826" s="186"/>
      <c r="D826" s="186"/>
      <c r="E826" s="182"/>
      <c r="F826" s="182"/>
      <c r="G826" s="187"/>
      <c r="H826" s="187"/>
      <c r="I826" s="40"/>
      <c r="J826" s="186"/>
      <c r="K826" s="186"/>
      <c r="L826" s="186"/>
      <c r="M826" s="186"/>
      <c r="N826" s="186"/>
      <c r="O826" s="186"/>
      <c r="P826" s="186"/>
      <c r="Q826" s="182"/>
      <c r="R826" s="182"/>
      <c r="S826" s="182"/>
      <c r="T826" s="186"/>
      <c r="U826" s="186"/>
      <c r="AA826" s="35"/>
      <c r="AB826" s="35"/>
    </row>
    <row r="827" spans="1:28" ht="15" x14ac:dyDescent="0.2">
      <c r="A827" s="188"/>
      <c r="B827" s="32"/>
      <c r="C827" s="32"/>
      <c r="D827" s="32"/>
      <c r="E827" s="32"/>
      <c r="F827" s="32"/>
      <c r="G827" s="32"/>
      <c r="I827" s="40"/>
      <c r="J827" s="186"/>
      <c r="K827" s="186"/>
      <c r="L827" s="186"/>
      <c r="M827" s="186"/>
      <c r="N827" s="186"/>
      <c r="O827" s="186"/>
      <c r="P827" s="186"/>
      <c r="Q827" s="182"/>
      <c r="R827" s="182"/>
      <c r="S827" s="182"/>
      <c r="T827" s="186"/>
      <c r="U827" s="186"/>
      <c r="AA827" s="35"/>
      <c r="AB827" s="35"/>
    </row>
    <row r="828" spans="1:28" x14ac:dyDescent="0.2">
      <c r="A828" s="12"/>
      <c r="D828" s="182"/>
      <c r="E828" s="182"/>
      <c r="F828" s="182"/>
      <c r="I828" s="40"/>
      <c r="J828" s="186"/>
      <c r="K828" s="186"/>
      <c r="L828" s="186"/>
      <c r="M828" s="186"/>
      <c r="N828" s="186"/>
      <c r="O828" s="186"/>
      <c r="P828" s="186"/>
      <c r="Q828" s="182"/>
      <c r="R828" s="182"/>
      <c r="S828" s="182"/>
      <c r="T828" s="186"/>
      <c r="U828" s="186"/>
      <c r="AA828" s="35"/>
      <c r="AB828" s="35"/>
    </row>
    <row r="829" spans="1:28" x14ac:dyDescent="0.2">
      <c r="A829" s="12"/>
      <c r="B829" s="182"/>
      <c r="D829" s="182"/>
      <c r="E829" s="182"/>
      <c r="F829" s="182"/>
      <c r="I829" s="40"/>
      <c r="J829" s="186"/>
      <c r="K829" s="186"/>
      <c r="L829" s="186"/>
      <c r="M829" s="186"/>
      <c r="N829" s="186"/>
      <c r="O829" s="186"/>
      <c r="P829" s="186"/>
      <c r="Q829" s="182"/>
      <c r="R829" s="182"/>
      <c r="S829" s="182"/>
      <c r="T829" s="186"/>
      <c r="U829" s="186"/>
      <c r="AA829" s="35"/>
      <c r="AB829" s="35"/>
    </row>
    <row r="830" spans="1:28" x14ac:dyDescent="0.2">
      <c r="A830" s="12"/>
      <c r="B830" s="182"/>
      <c r="D830" s="182"/>
      <c r="E830" s="182"/>
      <c r="F830" s="182"/>
      <c r="I830" s="40"/>
      <c r="J830" s="186"/>
      <c r="K830" s="186"/>
      <c r="L830" s="186"/>
      <c r="M830" s="186"/>
      <c r="N830" s="186"/>
      <c r="O830" s="186"/>
      <c r="P830" s="186"/>
      <c r="Q830" s="182"/>
      <c r="R830" s="182"/>
      <c r="S830" s="182"/>
      <c r="T830" s="186"/>
      <c r="U830" s="186"/>
      <c r="AA830" s="35"/>
      <c r="AB830" s="35"/>
    </row>
    <row r="831" spans="1:28" x14ac:dyDescent="0.2">
      <c r="A831" s="12"/>
      <c r="B831" s="182"/>
      <c r="D831" s="182"/>
      <c r="E831" s="182"/>
      <c r="F831" s="182"/>
      <c r="I831" s="40"/>
      <c r="J831" s="186"/>
      <c r="K831" s="186"/>
      <c r="L831" s="186"/>
      <c r="M831" s="186"/>
      <c r="N831" s="186"/>
      <c r="O831" s="186"/>
      <c r="P831" s="186"/>
      <c r="Q831" s="182"/>
      <c r="R831" s="182"/>
      <c r="S831" s="182"/>
      <c r="T831" s="186"/>
      <c r="U831" s="186"/>
      <c r="AA831" s="35"/>
      <c r="AB831" s="35"/>
    </row>
    <row r="832" spans="1:28" x14ac:dyDescent="0.2">
      <c r="B832" s="182"/>
      <c r="C832" s="182"/>
      <c r="D832" s="182"/>
      <c r="E832" s="182"/>
      <c r="F832" s="182"/>
      <c r="I832" s="40"/>
      <c r="J832" s="186"/>
      <c r="K832" s="186"/>
      <c r="L832" s="186"/>
      <c r="M832" s="186"/>
      <c r="N832" s="186"/>
      <c r="O832" s="186"/>
      <c r="P832" s="186"/>
      <c r="Q832" s="182"/>
      <c r="R832" s="182"/>
      <c r="S832" s="182"/>
      <c r="T832" s="186"/>
      <c r="U832" s="186"/>
      <c r="AA832" s="35"/>
      <c r="AB832" s="35"/>
    </row>
    <row r="833" spans="1:28" ht="15" x14ac:dyDescent="0.25">
      <c r="A833" s="12"/>
      <c r="B833" s="173"/>
      <c r="C833" s="173"/>
      <c r="D833" s="173"/>
      <c r="E833" s="173"/>
      <c r="F833" s="173"/>
      <c r="G833" s="173"/>
      <c r="H833" s="173"/>
      <c r="I833" s="173"/>
      <c r="J833" s="173"/>
      <c r="K833" s="173"/>
      <c r="L833" s="173"/>
      <c r="M833" s="173"/>
      <c r="N833" s="173"/>
      <c r="O833" s="173"/>
      <c r="P833" s="173"/>
      <c r="Q833" s="173"/>
      <c r="R833" s="173"/>
      <c r="S833" s="173"/>
      <c r="T833" s="173"/>
      <c r="U833" s="173"/>
      <c r="V833" s="275"/>
      <c r="W833" s="8"/>
      <c r="X833" s="8"/>
      <c r="AA833" s="35"/>
      <c r="AB833" s="35"/>
    </row>
    <row r="834" spans="1:28" x14ac:dyDescent="0.2">
      <c r="A834" s="189"/>
      <c r="B834" s="174"/>
      <c r="C834" s="174"/>
      <c r="D834" s="174"/>
      <c r="E834" s="174"/>
      <c r="F834" s="174"/>
      <c r="G834" s="174"/>
      <c r="H834" s="174"/>
      <c r="I834" s="174"/>
      <c r="J834" s="174"/>
      <c r="K834" s="174"/>
      <c r="L834" s="174"/>
      <c r="M834" s="174"/>
      <c r="N834" s="174"/>
      <c r="O834" s="174"/>
      <c r="P834" s="174"/>
      <c r="Q834" s="174"/>
      <c r="R834" s="174"/>
      <c r="S834" s="174"/>
      <c r="T834" s="174"/>
      <c r="U834" s="174"/>
      <c r="V834" s="276"/>
      <c r="W834" s="174"/>
      <c r="X834" s="174"/>
      <c r="AA834" s="35"/>
      <c r="AB834" s="35"/>
    </row>
    <row r="835" spans="1:28" ht="15" x14ac:dyDescent="0.25">
      <c r="A835" s="178"/>
      <c r="B835" s="169"/>
      <c r="C835" s="169"/>
      <c r="D835" s="169"/>
      <c r="E835" s="169"/>
      <c r="F835" s="169"/>
      <c r="G835" s="169"/>
      <c r="H835" s="169"/>
      <c r="I835" s="169"/>
      <c r="J835" s="169"/>
      <c r="K835" s="169"/>
      <c r="L835" s="169"/>
      <c r="M835" s="169"/>
      <c r="N835" s="169"/>
      <c r="O835" s="169"/>
      <c r="P835" s="169"/>
      <c r="Q835" s="169"/>
      <c r="R835" s="169"/>
      <c r="S835" s="169"/>
      <c r="T835" s="169"/>
      <c r="U835" s="169"/>
      <c r="V835" s="175"/>
      <c r="W835" s="175"/>
      <c r="X835" s="175"/>
      <c r="AA835" s="35"/>
      <c r="AB835" s="35"/>
    </row>
    <row r="836" spans="1:28" ht="15" x14ac:dyDescent="0.25">
      <c r="A836" s="178"/>
      <c r="B836" s="178"/>
      <c r="C836" s="178"/>
      <c r="D836" s="178"/>
      <c r="E836" s="178"/>
      <c r="F836" s="178"/>
      <c r="G836" s="178"/>
      <c r="H836" s="178"/>
      <c r="I836" s="178"/>
      <c r="J836" s="178"/>
      <c r="K836" s="178"/>
      <c r="L836" s="178"/>
      <c r="M836" s="178"/>
      <c r="N836" s="178"/>
      <c r="O836" s="178"/>
      <c r="P836" s="178"/>
      <c r="Q836" s="178"/>
      <c r="R836" s="178"/>
      <c r="S836" s="178"/>
      <c r="T836" s="178"/>
      <c r="U836" s="178"/>
      <c r="V836" s="277"/>
      <c r="W836" s="176"/>
      <c r="X836" s="176"/>
      <c r="AA836" s="35"/>
      <c r="AB836" s="35"/>
    </row>
    <row r="837" spans="1:28" x14ac:dyDescent="0.2">
      <c r="A837" s="177"/>
      <c r="B837" s="186"/>
      <c r="C837" s="186"/>
      <c r="D837" s="186"/>
      <c r="E837" s="182"/>
      <c r="F837" s="182"/>
      <c r="G837" s="187"/>
      <c r="H837" s="187"/>
      <c r="I837" s="187"/>
      <c r="J837" s="182"/>
      <c r="K837" s="182"/>
      <c r="L837" s="187"/>
      <c r="M837" s="182"/>
      <c r="N837" s="182"/>
      <c r="O837" s="182"/>
      <c r="P837" s="182"/>
      <c r="Q837" s="182"/>
      <c r="R837" s="182"/>
      <c r="S837" s="182"/>
      <c r="T837" s="182"/>
      <c r="U837" s="182"/>
      <c r="AA837" s="35"/>
      <c r="AB837" s="35"/>
    </row>
    <row r="838" spans="1:28" x14ac:dyDescent="0.2">
      <c r="A838" s="177"/>
      <c r="B838" s="186"/>
      <c r="C838" s="186"/>
      <c r="D838" s="186"/>
      <c r="E838" s="182"/>
      <c r="F838" s="182"/>
      <c r="G838" s="187"/>
      <c r="H838" s="187"/>
      <c r="I838" s="40"/>
      <c r="J838" s="186"/>
      <c r="K838" s="186"/>
      <c r="L838" s="186"/>
      <c r="M838" s="186"/>
      <c r="N838" s="186"/>
      <c r="O838" s="186"/>
      <c r="P838" s="186"/>
      <c r="Q838" s="182"/>
      <c r="R838" s="182"/>
      <c r="S838" s="182"/>
      <c r="T838" s="186"/>
      <c r="U838" s="186"/>
      <c r="AA838" s="35"/>
      <c r="AB838" s="35"/>
    </row>
    <row r="839" spans="1:28" ht="15" x14ac:dyDescent="0.2">
      <c r="A839" s="188"/>
      <c r="B839" s="32"/>
      <c r="C839" s="32"/>
      <c r="D839" s="32"/>
      <c r="E839" s="32"/>
      <c r="F839" s="32"/>
      <c r="G839" s="32"/>
      <c r="I839" s="40"/>
      <c r="J839" s="186"/>
      <c r="K839" s="186"/>
      <c r="L839" s="186"/>
      <c r="M839" s="186"/>
      <c r="N839" s="186"/>
      <c r="O839" s="186"/>
      <c r="P839" s="186"/>
      <c r="Q839" s="182"/>
      <c r="R839" s="182"/>
      <c r="S839" s="182"/>
      <c r="T839" s="186"/>
      <c r="U839" s="186"/>
      <c r="AA839" s="35"/>
      <c r="AB839" s="35"/>
    </row>
    <row r="840" spans="1:28" x14ac:dyDescent="0.2">
      <c r="A840" s="12"/>
      <c r="D840" s="182"/>
      <c r="E840" s="182"/>
      <c r="F840" s="182"/>
      <c r="I840" s="40"/>
      <c r="J840" s="186"/>
      <c r="K840" s="186"/>
      <c r="L840" s="186"/>
      <c r="M840" s="186"/>
      <c r="N840" s="186"/>
      <c r="O840" s="186"/>
      <c r="P840" s="186"/>
      <c r="Q840" s="182"/>
      <c r="R840" s="182"/>
      <c r="S840" s="182"/>
      <c r="T840" s="186"/>
      <c r="U840" s="186"/>
      <c r="AA840" s="35"/>
      <c r="AB840" s="35"/>
    </row>
    <row r="841" spans="1:28" x14ac:dyDescent="0.2">
      <c r="A841" s="12"/>
      <c r="B841" s="182"/>
      <c r="D841" s="182"/>
      <c r="E841" s="182"/>
      <c r="F841" s="182"/>
      <c r="I841" s="40"/>
      <c r="J841" s="186"/>
      <c r="K841" s="186"/>
      <c r="L841" s="186"/>
      <c r="M841" s="186"/>
      <c r="N841" s="186"/>
      <c r="O841" s="186"/>
      <c r="P841" s="186"/>
      <c r="Q841" s="182"/>
      <c r="R841" s="182"/>
      <c r="S841" s="182"/>
      <c r="T841" s="186"/>
      <c r="U841" s="186"/>
      <c r="AA841" s="35"/>
      <c r="AB841" s="35"/>
    </row>
    <row r="842" spans="1:28" x14ac:dyDescent="0.2">
      <c r="A842" s="12"/>
      <c r="B842" s="182"/>
      <c r="D842" s="182"/>
      <c r="E842" s="182"/>
      <c r="F842" s="182"/>
      <c r="I842" s="40"/>
      <c r="J842" s="186"/>
      <c r="K842" s="186"/>
      <c r="L842" s="186"/>
      <c r="M842" s="186"/>
      <c r="N842" s="186"/>
      <c r="O842" s="186"/>
      <c r="P842" s="186"/>
      <c r="Q842" s="182"/>
      <c r="R842" s="182"/>
      <c r="S842" s="182"/>
      <c r="T842" s="186"/>
      <c r="U842" s="186"/>
      <c r="AA842" s="35"/>
      <c r="AB842" s="35"/>
    </row>
    <row r="843" spans="1:28" x14ac:dyDescent="0.2">
      <c r="A843" s="12"/>
      <c r="B843" s="182"/>
      <c r="D843" s="182"/>
      <c r="E843" s="182"/>
      <c r="F843" s="182"/>
      <c r="I843" s="40"/>
      <c r="J843" s="186"/>
      <c r="K843" s="186"/>
      <c r="L843" s="186"/>
      <c r="M843" s="186"/>
      <c r="N843" s="186"/>
      <c r="O843" s="186"/>
      <c r="P843" s="186"/>
      <c r="Q843" s="182"/>
      <c r="R843" s="182"/>
      <c r="S843" s="182"/>
      <c r="T843" s="186"/>
      <c r="U843" s="186"/>
      <c r="AA843" s="35"/>
      <c r="AB843" s="35"/>
    </row>
    <row r="844" spans="1:28" x14ac:dyDescent="0.2">
      <c r="B844" s="182"/>
      <c r="C844" s="182"/>
      <c r="D844" s="182"/>
      <c r="E844" s="182"/>
      <c r="F844" s="182"/>
      <c r="I844" s="40"/>
      <c r="J844" s="186"/>
      <c r="K844" s="186"/>
      <c r="L844" s="186"/>
      <c r="M844" s="186"/>
      <c r="N844" s="186"/>
      <c r="O844" s="186"/>
      <c r="P844" s="186"/>
      <c r="Q844" s="182"/>
      <c r="R844" s="182"/>
      <c r="S844" s="182"/>
      <c r="T844" s="186"/>
      <c r="U844" s="186"/>
      <c r="AA844" s="35"/>
      <c r="AB844" s="35"/>
    </row>
    <row r="845" spans="1:28" ht="15" x14ac:dyDescent="0.25">
      <c r="A845" s="12"/>
      <c r="B845" s="173"/>
      <c r="C845" s="173"/>
      <c r="D845" s="173"/>
      <c r="E845" s="173"/>
      <c r="F845" s="173"/>
      <c r="G845" s="173"/>
      <c r="H845" s="173"/>
      <c r="I845" s="173"/>
      <c r="J845" s="173"/>
      <c r="K845" s="173"/>
      <c r="L845" s="173"/>
      <c r="M845" s="173"/>
      <c r="N845" s="173"/>
      <c r="O845" s="173"/>
      <c r="P845" s="173"/>
      <c r="Q845" s="173"/>
      <c r="R845" s="173"/>
      <c r="S845" s="173"/>
      <c r="T845" s="173"/>
      <c r="U845" s="173"/>
      <c r="V845" s="275"/>
      <c r="W845" s="8"/>
      <c r="X845" s="8"/>
      <c r="AA845" s="35"/>
      <c r="AB845" s="35"/>
    </row>
    <row r="846" spans="1:28" x14ac:dyDescent="0.2">
      <c r="A846" s="189"/>
      <c r="B846" s="174"/>
      <c r="C846" s="174"/>
      <c r="D846" s="174"/>
      <c r="E846" s="174"/>
      <c r="F846" s="174"/>
      <c r="G846" s="174"/>
      <c r="H846" s="174"/>
      <c r="I846" s="174"/>
      <c r="J846" s="174"/>
      <c r="K846" s="174"/>
      <c r="L846" s="174"/>
      <c r="M846" s="174"/>
      <c r="N846" s="174"/>
      <c r="O846" s="174"/>
      <c r="P846" s="174"/>
      <c r="Q846" s="174"/>
      <c r="R846" s="174"/>
      <c r="S846" s="174"/>
      <c r="T846" s="174"/>
      <c r="U846" s="174"/>
      <c r="V846" s="276"/>
      <c r="W846" s="174"/>
      <c r="X846" s="174"/>
      <c r="AA846" s="35"/>
      <c r="AB846" s="35"/>
    </row>
    <row r="847" spans="1:28" ht="15" x14ac:dyDescent="0.25">
      <c r="A847" s="178"/>
      <c r="B847" s="169"/>
      <c r="C847" s="169"/>
      <c r="D847" s="169"/>
      <c r="E847" s="169"/>
      <c r="F847" s="169"/>
      <c r="G847" s="169"/>
      <c r="H847" s="169"/>
      <c r="I847" s="169"/>
      <c r="J847" s="169"/>
      <c r="K847" s="169"/>
      <c r="L847" s="169"/>
      <c r="M847" s="169"/>
      <c r="N847" s="169"/>
      <c r="O847" s="169"/>
      <c r="P847" s="169"/>
      <c r="Q847" s="169"/>
      <c r="R847" s="169"/>
      <c r="S847" s="169"/>
      <c r="T847" s="169"/>
      <c r="U847" s="169"/>
      <c r="V847" s="175"/>
      <c r="W847" s="175"/>
      <c r="X847" s="175"/>
      <c r="AA847" s="35"/>
      <c r="AB847" s="35"/>
    </row>
    <row r="848" spans="1:28" ht="15" x14ac:dyDescent="0.25">
      <c r="A848" s="178"/>
      <c r="B848" s="178"/>
      <c r="C848" s="178"/>
      <c r="D848" s="178"/>
      <c r="E848" s="178"/>
      <c r="F848" s="178"/>
      <c r="G848" s="178"/>
      <c r="H848" s="178"/>
      <c r="I848" s="178"/>
      <c r="J848" s="178"/>
      <c r="K848" s="178"/>
      <c r="L848" s="178"/>
      <c r="M848" s="178"/>
      <c r="N848" s="178"/>
      <c r="O848" s="178"/>
      <c r="P848" s="178"/>
      <c r="Q848" s="178"/>
      <c r="R848" s="178"/>
      <c r="S848" s="178"/>
      <c r="T848" s="178"/>
      <c r="U848" s="178"/>
      <c r="V848" s="277"/>
      <c r="W848" s="176"/>
      <c r="X848" s="176"/>
      <c r="AA848" s="35"/>
      <c r="AB848" s="35"/>
    </row>
    <row r="849" spans="1:28" x14ac:dyDescent="0.2">
      <c r="A849" s="177"/>
      <c r="B849" s="186"/>
      <c r="C849" s="186"/>
      <c r="D849" s="186"/>
      <c r="E849" s="182"/>
      <c r="F849" s="182"/>
      <c r="G849" s="187"/>
      <c r="H849" s="187"/>
      <c r="I849" s="187"/>
      <c r="J849" s="182"/>
      <c r="K849" s="182"/>
      <c r="L849" s="187"/>
      <c r="M849" s="182"/>
      <c r="N849" s="182"/>
      <c r="O849" s="182"/>
      <c r="P849" s="182"/>
      <c r="Q849" s="182"/>
      <c r="R849" s="182"/>
      <c r="S849" s="182"/>
      <c r="T849" s="182"/>
      <c r="U849" s="182"/>
      <c r="AA849" s="35"/>
      <c r="AB849" s="35"/>
    </row>
    <row r="850" spans="1:28" x14ac:dyDescent="0.2">
      <c r="A850" s="177"/>
      <c r="B850" s="186"/>
      <c r="C850" s="186"/>
      <c r="D850" s="186"/>
      <c r="E850" s="182"/>
      <c r="F850" s="182"/>
      <c r="G850" s="187"/>
      <c r="H850" s="187"/>
      <c r="I850" s="40"/>
      <c r="J850" s="186"/>
      <c r="K850" s="186"/>
      <c r="L850" s="186"/>
      <c r="M850" s="186"/>
      <c r="N850" s="186"/>
      <c r="O850" s="186"/>
      <c r="P850" s="186"/>
      <c r="Q850" s="182"/>
      <c r="R850" s="182"/>
      <c r="S850" s="182"/>
      <c r="T850" s="186"/>
      <c r="U850" s="186"/>
      <c r="AA850" s="35"/>
      <c r="AB850" s="35"/>
    </row>
    <row r="851" spans="1:28" ht="15" x14ac:dyDescent="0.2">
      <c r="A851" s="188"/>
      <c r="B851" s="32"/>
      <c r="C851" s="32"/>
      <c r="D851" s="32"/>
      <c r="E851" s="32"/>
      <c r="F851" s="32"/>
      <c r="G851" s="32"/>
      <c r="I851" s="40"/>
      <c r="J851" s="186"/>
      <c r="K851" s="186"/>
      <c r="L851" s="186"/>
      <c r="M851" s="186"/>
      <c r="N851" s="186"/>
      <c r="O851" s="186"/>
      <c r="P851" s="186"/>
      <c r="Q851" s="182"/>
      <c r="R851" s="182"/>
      <c r="S851" s="182"/>
      <c r="T851" s="186"/>
      <c r="U851" s="186"/>
      <c r="AA851" s="35"/>
      <c r="AB851" s="35"/>
    </row>
    <row r="852" spans="1:28" x14ac:dyDescent="0.2">
      <c r="A852" s="12"/>
      <c r="D852" s="182"/>
      <c r="E852" s="182"/>
      <c r="F852" s="182"/>
      <c r="I852" s="40"/>
      <c r="J852" s="186"/>
      <c r="K852" s="186"/>
      <c r="L852" s="186"/>
      <c r="M852" s="186"/>
      <c r="N852" s="186"/>
      <c r="O852" s="186"/>
      <c r="P852" s="186"/>
      <c r="Q852" s="182"/>
      <c r="R852" s="182"/>
      <c r="S852" s="182"/>
      <c r="T852" s="186"/>
      <c r="U852" s="186"/>
      <c r="AA852" s="35"/>
      <c r="AB852" s="35"/>
    </row>
    <row r="853" spans="1:28" x14ac:dyDescent="0.2">
      <c r="A853" s="12"/>
      <c r="B853" s="182"/>
      <c r="D853" s="182"/>
      <c r="E853" s="182"/>
      <c r="F853" s="182"/>
      <c r="I853" s="40"/>
      <c r="J853" s="186"/>
      <c r="K853" s="186"/>
      <c r="L853" s="186"/>
      <c r="M853" s="186"/>
      <c r="N853" s="186"/>
      <c r="O853" s="186"/>
      <c r="P853" s="186"/>
      <c r="Q853" s="182"/>
      <c r="R853" s="182"/>
      <c r="S853" s="182"/>
      <c r="T853" s="186"/>
      <c r="U853" s="186"/>
      <c r="AA853" s="35"/>
      <c r="AB853" s="35"/>
    </row>
    <row r="854" spans="1:28" x14ac:dyDescent="0.2">
      <c r="A854" s="12"/>
      <c r="B854" s="182"/>
      <c r="D854" s="182"/>
      <c r="E854" s="182"/>
      <c r="F854" s="182"/>
      <c r="I854" s="40"/>
      <c r="J854" s="186"/>
      <c r="K854" s="186"/>
      <c r="L854" s="186"/>
      <c r="M854" s="186"/>
      <c r="N854" s="186"/>
      <c r="O854" s="186"/>
      <c r="P854" s="186"/>
      <c r="Q854" s="182"/>
      <c r="R854" s="182"/>
      <c r="S854" s="182"/>
      <c r="T854" s="186"/>
      <c r="U854" s="186"/>
      <c r="AA854" s="35"/>
      <c r="AB854" s="35"/>
    </row>
    <row r="855" spans="1:28" x14ac:dyDescent="0.2">
      <c r="A855" s="12"/>
      <c r="B855" s="182"/>
      <c r="D855" s="182"/>
      <c r="E855" s="182"/>
      <c r="F855" s="182"/>
      <c r="I855" s="40"/>
      <c r="J855" s="186"/>
      <c r="K855" s="186"/>
      <c r="L855" s="186"/>
      <c r="M855" s="186"/>
      <c r="N855" s="186"/>
      <c r="O855" s="186"/>
      <c r="P855" s="186"/>
      <c r="Q855" s="182"/>
      <c r="R855" s="182"/>
      <c r="S855" s="182"/>
      <c r="T855" s="186"/>
      <c r="U855" s="186"/>
      <c r="AA855" s="35"/>
      <c r="AB855" s="35"/>
    </row>
    <row r="856" spans="1:28" x14ac:dyDescent="0.2">
      <c r="B856" s="182"/>
      <c r="C856" s="182"/>
      <c r="D856" s="182"/>
      <c r="E856" s="182"/>
      <c r="F856" s="182"/>
      <c r="I856" s="40"/>
      <c r="J856" s="186"/>
      <c r="K856" s="186"/>
      <c r="L856" s="186"/>
      <c r="M856" s="186"/>
      <c r="N856" s="186"/>
      <c r="O856" s="186"/>
      <c r="P856" s="186"/>
      <c r="Q856" s="182"/>
      <c r="R856" s="182"/>
      <c r="S856" s="182"/>
      <c r="T856" s="186"/>
      <c r="U856" s="186"/>
      <c r="AA856" s="35"/>
      <c r="AB856" s="35"/>
    </row>
    <row r="857" spans="1:28" ht="15" x14ac:dyDescent="0.25">
      <c r="A857" s="12"/>
      <c r="B857" s="173"/>
      <c r="C857" s="173"/>
      <c r="D857" s="173"/>
      <c r="E857" s="173"/>
      <c r="F857" s="173"/>
      <c r="G857" s="173"/>
      <c r="H857" s="173"/>
      <c r="I857" s="173"/>
      <c r="J857" s="173"/>
      <c r="K857" s="173"/>
      <c r="L857" s="173"/>
      <c r="M857" s="173"/>
      <c r="N857" s="173"/>
      <c r="O857" s="173"/>
      <c r="P857" s="173"/>
      <c r="Q857" s="173"/>
      <c r="R857" s="173"/>
      <c r="S857" s="173"/>
      <c r="T857" s="173"/>
      <c r="U857" s="173"/>
      <c r="V857" s="275"/>
      <c r="W857" s="8"/>
      <c r="X857" s="8"/>
      <c r="AA857" s="35"/>
      <c r="AB857" s="35"/>
    </row>
    <row r="858" spans="1:28" x14ac:dyDescent="0.2">
      <c r="A858" s="189"/>
      <c r="B858" s="174"/>
      <c r="C858" s="174"/>
      <c r="D858" s="174"/>
      <c r="E858" s="174"/>
      <c r="F858" s="174"/>
      <c r="G858" s="174"/>
      <c r="H858" s="174"/>
      <c r="I858" s="174"/>
      <c r="J858" s="174"/>
      <c r="K858" s="174"/>
      <c r="L858" s="174"/>
      <c r="M858" s="174"/>
      <c r="N858" s="174"/>
      <c r="O858" s="174"/>
      <c r="P858" s="174"/>
      <c r="Q858" s="174"/>
      <c r="R858" s="174"/>
      <c r="S858" s="174"/>
      <c r="T858" s="174"/>
      <c r="U858" s="174"/>
      <c r="V858" s="276"/>
      <c r="W858" s="174"/>
      <c r="X858" s="174"/>
      <c r="AA858" s="35"/>
      <c r="AB858" s="35"/>
    </row>
    <row r="859" spans="1:28" ht="15" x14ac:dyDescent="0.25">
      <c r="A859" s="178"/>
      <c r="B859" s="169"/>
      <c r="C859" s="169"/>
      <c r="D859" s="169"/>
      <c r="E859" s="169"/>
      <c r="F859" s="169"/>
      <c r="G859" s="169"/>
      <c r="H859" s="169"/>
      <c r="I859" s="169"/>
      <c r="J859" s="169"/>
      <c r="K859" s="169"/>
      <c r="L859" s="169"/>
      <c r="M859" s="169"/>
      <c r="N859" s="169"/>
      <c r="O859" s="169"/>
      <c r="P859" s="169"/>
      <c r="Q859" s="169"/>
      <c r="R859" s="169"/>
      <c r="S859" s="169"/>
      <c r="T859" s="169"/>
      <c r="U859" s="169"/>
      <c r="V859" s="175"/>
      <c r="W859" s="175"/>
      <c r="X859" s="175"/>
      <c r="AA859" s="35"/>
      <c r="AB859" s="35"/>
    </row>
    <row r="860" spans="1:28" ht="15" x14ac:dyDescent="0.25">
      <c r="A860" s="178"/>
      <c r="B860" s="178"/>
      <c r="C860" s="178"/>
      <c r="D860" s="178"/>
      <c r="E860" s="178"/>
      <c r="F860" s="178"/>
      <c r="G860" s="178"/>
      <c r="H860" s="178"/>
      <c r="I860" s="178"/>
      <c r="J860" s="178"/>
      <c r="K860" s="178"/>
      <c r="L860" s="178"/>
      <c r="M860" s="178"/>
      <c r="N860" s="178"/>
      <c r="O860" s="178"/>
      <c r="P860" s="178"/>
      <c r="Q860" s="178"/>
      <c r="R860" s="178"/>
      <c r="S860" s="178"/>
      <c r="T860" s="178"/>
      <c r="U860" s="178"/>
      <c r="V860" s="277"/>
      <c r="W860" s="176"/>
      <c r="X860" s="176"/>
      <c r="AA860" s="35"/>
      <c r="AB860" s="35"/>
    </row>
    <row r="861" spans="1:28" x14ac:dyDescent="0.2">
      <c r="A861" s="177"/>
      <c r="B861" s="186"/>
      <c r="C861" s="186"/>
      <c r="D861" s="186"/>
      <c r="E861" s="182"/>
      <c r="F861" s="182"/>
      <c r="G861" s="187"/>
      <c r="H861" s="187"/>
      <c r="I861" s="187"/>
      <c r="J861" s="182"/>
      <c r="K861" s="182"/>
      <c r="L861" s="187"/>
      <c r="M861" s="182"/>
      <c r="N861" s="182"/>
      <c r="O861" s="182"/>
      <c r="P861" s="182"/>
      <c r="Q861" s="182"/>
      <c r="R861" s="182"/>
      <c r="S861" s="182"/>
      <c r="T861" s="182"/>
      <c r="U861" s="182"/>
      <c r="AA861" s="35"/>
      <c r="AB861" s="35"/>
    </row>
    <row r="862" spans="1:28" x14ac:dyDescent="0.2">
      <c r="A862" s="177"/>
      <c r="B862" s="186"/>
      <c r="C862" s="186"/>
      <c r="D862" s="186"/>
      <c r="E862" s="182"/>
      <c r="F862" s="182"/>
      <c r="G862" s="187"/>
      <c r="H862" s="187"/>
      <c r="I862" s="40"/>
      <c r="J862" s="186"/>
      <c r="K862" s="186"/>
      <c r="L862" s="186"/>
      <c r="M862" s="186"/>
      <c r="N862" s="186"/>
      <c r="O862" s="186"/>
      <c r="P862" s="186"/>
      <c r="Q862" s="182"/>
      <c r="R862" s="182"/>
      <c r="S862" s="182"/>
      <c r="T862" s="186"/>
      <c r="U862" s="186"/>
      <c r="AA862" s="35"/>
      <c r="AB862" s="35"/>
    </row>
    <row r="863" spans="1:28" ht="15" x14ac:dyDescent="0.2">
      <c r="A863" s="188"/>
      <c r="B863" s="32"/>
      <c r="C863" s="32"/>
      <c r="D863" s="32"/>
      <c r="E863" s="32"/>
      <c r="F863" s="32"/>
      <c r="G863" s="32"/>
      <c r="I863" s="40"/>
      <c r="J863" s="186"/>
      <c r="K863" s="186"/>
      <c r="L863" s="186"/>
      <c r="M863" s="186"/>
      <c r="N863" s="186"/>
      <c r="O863" s="186"/>
      <c r="P863" s="186"/>
      <c r="Q863" s="182"/>
      <c r="R863" s="182"/>
      <c r="S863" s="182"/>
      <c r="T863" s="186"/>
      <c r="U863" s="186"/>
      <c r="AA863" s="35"/>
      <c r="AB863" s="35"/>
    </row>
    <row r="864" spans="1:28" x14ac:dyDescent="0.2">
      <c r="A864" s="12"/>
      <c r="D864" s="182"/>
      <c r="E864" s="182"/>
      <c r="F864" s="182"/>
      <c r="I864" s="40"/>
      <c r="J864" s="186"/>
      <c r="K864" s="186"/>
      <c r="L864" s="186"/>
      <c r="M864" s="186"/>
      <c r="N864" s="186"/>
      <c r="O864" s="186"/>
      <c r="P864" s="186"/>
      <c r="Q864" s="182"/>
      <c r="R864" s="182"/>
      <c r="S864" s="182"/>
      <c r="T864" s="186"/>
      <c r="U864" s="186"/>
      <c r="AA864" s="35"/>
      <c r="AB864" s="35"/>
    </row>
    <row r="865" spans="1:28" x14ac:dyDescent="0.2">
      <c r="A865" s="12"/>
      <c r="B865" s="182"/>
      <c r="D865" s="182"/>
      <c r="E865" s="182"/>
      <c r="F865" s="182"/>
      <c r="I865" s="40"/>
      <c r="J865" s="186"/>
      <c r="K865" s="186"/>
      <c r="L865" s="186"/>
      <c r="M865" s="186"/>
      <c r="N865" s="186"/>
      <c r="O865" s="186"/>
      <c r="P865" s="186"/>
      <c r="Q865" s="182"/>
      <c r="R865" s="182"/>
      <c r="S865" s="182"/>
      <c r="T865" s="186"/>
      <c r="U865" s="186"/>
      <c r="AA865" s="35"/>
      <c r="AB865" s="35"/>
    </row>
    <row r="866" spans="1:28" x14ac:dyDescent="0.2">
      <c r="A866" s="12"/>
      <c r="B866" s="182"/>
      <c r="D866" s="182"/>
      <c r="E866" s="182"/>
      <c r="F866" s="182"/>
      <c r="I866" s="40"/>
      <c r="J866" s="186"/>
      <c r="K866" s="186"/>
      <c r="L866" s="186"/>
      <c r="M866" s="186"/>
      <c r="N866" s="186"/>
      <c r="O866" s="186"/>
      <c r="P866" s="186"/>
      <c r="Q866" s="182"/>
      <c r="R866" s="182"/>
      <c r="S866" s="182"/>
      <c r="T866" s="186"/>
      <c r="U866" s="186"/>
      <c r="AA866" s="35"/>
      <c r="AB866" s="35"/>
    </row>
    <row r="867" spans="1:28" x14ac:dyDescent="0.2">
      <c r="A867" s="12"/>
      <c r="B867" s="182"/>
      <c r="D867" s="182"/>
      <c r="E867" s="182"/>
      <c r="F867" s="182"/>
      <c r="I867" s="40"/>
      <c r="J867" s="186"/>
      <c r="K867" s="186"/>
      <c r="L867" s="186"/>
      <c r="M867" s="186"/>
      <c r="N867" s="186"/>
      <c r="O867" s="186"/>
      <c r="P867" s="186"/>
      <c r="Q867" s="182"/>
      <c r="R867" s="182"/>
      <c r="S867" s="182"/>
      <c r="T867" s="186"/>
      <c r="U867" s="186"/>
      <c r="AA867" s="35"/>
      <c r="AB867" s="35"/>
    </row>
    <row r="868" spans="1:28" x14ac:dyDescent="0.2">
      <c r="B868" s="182"/>
      <c r="C868" s="182"/>
      <c r="D868" s="182"/>
      <c r="E868" s="182"/>
      <c r="F868" s="182"/>
      <c r="I868" s="40"/>
      <c r="J868" s="186"/>
      <c r="K868" s="186"/>
      <c r="L868" s="186"/>
      <c r="M868" s="186"/>
      <c r="N868" s="186"/>
      <c r="O868" s="186"/>
      <c r="P868" s="186"/>
      <c r="Q868" s="182"/>
      <c r="R868" s="182"/>
      <c r="S868" s="182"/>
      <c r="T868" s="186"/>
      <c r="U868" s="186"/>
      <c r="AA868" s="35"/>
      <c r="AB868" s="35"/>
    </row>
    <row r="869" spans="1:28" ht="15" x14ac:dyDescent="0.25">
      <c r="A869" s="12"/>
      <c r="B869" s="173"/>
      <c r="C869" s="173"/>
      <c r="D869" s="173"/>
      <c r="E869" s="173"/>
      <c r="F869" s="173"/>
      <c r="G869" s="173"/>
      <c r="H869" s="173"/>
      <c r="I869" s="173"/>
      <c r="J869" s="173"/>
      <c r="K869" s="173"/>
      <c r="L869" s="173"/>
      <c r="M869" s="173"/>
      <c r="N869" s="173"/>
      <c r="O869" s="173"/>
      <c r="P869" s="173"/>
      <c r="Q869" s="173"/>
      <c r="R869" s="173"/>
      <c r="S869" s="173"/>
      <c r="T869" s="173"/>
      <c r="U869" s="173"/>
      <c r="V869" s="275"/>
      <c r="W869" s="8"/>
      <c r="X869" s="8"/>
      <c r="AA869" s="35"/>
      <c r="AB869" s="35"/>
    </row>
    <row r="870" spans="1:28" x14ac:dyDescent="0.2">
      <c r="A870" s="189"/>
      <c r="B870" s="174"/>
      <c r="C870" s="174"/>
      <c r="D870" s="174"/>
      <c r="E870" s="174"/>
      <c r="F870" s="174"/>
      <c r="G870" s="174"/>
      <c r="H870" s="174"/>
      <c r="I870" s="174"/>
      <c r="J870" s="174"/>
      <c r="K870" s="174"/>
      <c r="L870" s="174"/>
      <c r="M870" s="174"/>
      <c r="N870" s="174"/>
      <c r="O870" s="174"/>
      <c r="P870" s="174"/>
      <c r="Q870" s="174"/>
      <c r="R870" s="174"/>
      <c r="S870" s="174"/>
      <c r="T870" s="174"/>
      <c r="U870" s="174"/>
      <c r="V870" s="276"/>
      <c r="W870" s="174"/>
      <c r="X870" s="174"/>
      <c r="AA870" s="35"/>
      <c r="AB870" s="35"/>
    </row>
    <row r="871" spans="1:28" ht="15" x14ac:dyDescent="0.25">
      <c r="A871" s="178"/>
      <c r="B871" s="169"/>
      <c r="C871" s="169"/>
      <c r="D871" s="169"/>
      <c r="E871" s="169"/>
      <c r="F871" s="169"/>
      <c r="G871" s="169"/>
      <c r="H871" s="169"/>
      <c r="I871" s="169"/>
      <c r="J871" s="169"/>
      <c r="K871" s="169"/>
      <c r="L871" s="169"/>
      <c r="M871" s="169"/>
      <c r="N871" s="169"/>
      <c r="O871" s="169"/>
      <c r="P871" s="169"/>
      <c r="Q871" s="169"/>
      <c r="R871" s="169"/>
      <c r="S871" s="169"/>
      <c r="T871" s="169"/>
      <c r="U871" s="169"/>
      <c r="V871" s="175"/>
      <c r="W871" s="175"/>
      <c r="X871" s="175"/>
      <c r="AA871" s="35"/>
      <c r="AB871" s="35"/>
    </row>
    <row r="872" spans="1:28" ht="15" x14ac:dyDescent="0.25">
      <c r="A872" s="178"/>
      <c r="B872" s="178"/>
      <c r="C872" s="178"/>
      <c r="D872" s="178"/>
      <c r="E872" s="178"/>
      <c r="F872" s="178"/>
      <c r="G872" s="178"/>
      <c r="H872" s="178"/>
      <c r="I872" s="178"/>
      <c r="J872" s="178"/>
      <c r="K872" s="178"/>
      <c r="L872" s="178"/>
      <c r="M872" s="178"/>
      <c r="N872" s="178"/>
      <c r="O872" s="178"/>
      <c r="P872" s="178"/>
      <c r="Q872" s="178"/>
      <c r="R872" s="178"/>
      <c r="S872" s="178"/>
      <c r="T872" s="178"/>
      <c r="U872" s="178"/>
      <c r="V872" s="277"/>
      <c r="W872" s="176"/>
      <c r="X872" s="176"/>
      <c r="AA872" s="35"/>
      <c r="AB872" s="35"/>
    </row>
    <row r="873" spans="1:28" x14ac:dyDescent="0.2">
      <c r="A873" s="177"/>
      <c r="B873" s="186"/>
      <c r="C873" s="186"/>
      <c r="D873" s="186"/>
      <c r="E873" s="182"/>
      <c r="F873" s="182"/>
      <c r="G873" s="187"/>
      <c r="H873" s="187"/>
      <c r="I873" s="187"/>
      <c r="J873" s="182"/>
      <c r="K873" s="182"/>
      <c r="L873" s="187"/>
      <c r="M873" s="182"/>
      <c r="N873" s="182"/>
      <c r="O873" s="182"/>
      <c r="P873" s="182"/>
      <c r="Q873" s="182"/>
      <c r="R873" s="182"/>
      <c r="S873" s="182"/>
      <c r="T873" s="182"/>
      <c r="U873" s="182"/>
      <c r="AA873" s="35"/>
      <c r="AB873" s="35"/>
    </row>
    <row r="874" spans="1:28" x14ac:dyDescent="0.2">
      <c r="A874" s="177"/>
      <c r="B874" s="186"/>
      <c r="C874" s="186"/>
      <c r="D874" s="186"/>
      <c r="E874" s="182"/>
      <c r="F874" s="182"/>
      <c r="G874" s="187"/>
      <c r="H874" s="187"/>
      <c r="I874" s="40"/>
      <c r="J874" s="186"/>
      <c r="K874" s="186"/>
      <c r="L874" s="186"/>
      <c r="M874" s="186"/>
      <c r="N874" s="186"/>
      <c r="O874" s="186"/>
      <c r="P874" s="186"/>
      <c r="Q874" s="182"/>
      <c r="R874" s="182"/>
      <c r="S874" s="182"/>
      <c r="T874" s="186"/>
      <c r="U874" s="186"/>
      <c r="AA874" s="35"/>
      <c r="AB874" s="35"/>
    </row>
    <row r="875" spans="1:28" ht="15" x14ac:dyDescent="0.2">
      <c r="A875" s="188"/>
      <c r="B875" s="32"/>
      <c r="C875" s="32"/>
      <c r="D875" s="32"/>
      <c r="E875" s="32"/>
      <c r="F875" s="32"/>
      <c r="G875" s="32"/>
      <c r="I875" s="40"/>
      <c r="J875" s="186"/>
      <c r="K875" s="186"/>
      <c r="L875" s="186"/>
      <c r="M875" s="186"/>
      <c r="N875" s="186"/>
      <c r="O875" s="186"/>
      <c r="P875" s="186"/>
      <c r="Q875" s="182"/>
      <c r="R875" s="182"/>
      <c r="S875" s="182"/>
      <c r="T875" s="186"/>
      <c r="U875" s="186"/>
      <c r="AA875" s="35"/>
      <c r="AB875" s="35"/>
    </row>
    <row r="876" spans="1:28" x14ac:dyDescent="0.2">
      <c r="A876" s="12"/>
      <c r="D876" s="182"/>
      <c r="E876" s="182"/>
      <c r="F876" s="182"/>
      <c r="I876" s="40"/>
      <c r="J876" s="186"/>
      <c r="K876" s="186"/>
      <c r="L876" s="186"/>
      <c r="M876" s="186"/>
      <c r="N876" s="186"/>
      <c r="O876" s="186"/>
      <c r="P876" s="186"/>
      <c r="Q876" s="182"/>
      <c r="R876" s="182"/>
      <c r="S876" s="182"/>
      <c r="T876" s="186"/>
      <c r="U876" s="186"/>
      <c r="AA876" s="35"/>
      <c r="AB876" s="35"/>
    </row>
    <row r="877" spans="1:28" x14ac:dyDescent="0.2">
      <c r="A877" s="12"/>
      <c r="B877" s="182"/>
      <c r="D877" s="182"/>
      <c r="E877" s="182"/>
      <c r="F877" s="182"/>
      <c r="I877" s="40"/>
      <c r="J877" s="186"/>
      <c r="K877" s="186"/>
      <c r="L877" s="186"/>
      <c r="M877" s="186"/>
      <c r="N877" s="186"/>
      <c r="O877" s="186"/>
      <c r="P877" s="186"/>
      <c r="Q877" s="182"/>
      <c r="R877" s="182"/>
      <c r="S877" s="182"/>
      <c r="T877" s="186"/>
      <c r="U877" s="186"/>
      <c r="AA877" s="35"/>
      <c r="AB877" s="35"/>
    </row>
    <row r="878" spans="1:28" x14ac:dyDescent="0.2">
      <c r="A878" s="12"/>
      <c r="B878" s="182"/>
      <c r="D878" s="182"/>
      <c r="E878" s="182"/>
      <c r="F878" s="182"/>
      <c r="I878" s="40"/>
      <c r="J878" s="186"/>
      <c r="K878" s="186"/>
      <c r="L878" s="186"/>
      <c r="M878" s="186"/>
      <c r="N878" s="186"/>
      <c r="O878" s="186"/>
      <c r="P878" s="186"/>
      <c r="Q878" s="182"/>
      <c r="R878" s="182"/>
      <c r="S878" s="182"/>
      <c r="T878" s="186"/>
      <c r="U878" s="186"/>
      <c r="AA878" s="35"/>
      <c r="AB878" s="35"/>
    </row>
    <row r="879" spans="1:28" x14ac:dyDescent="0.2">
      <c r="A879" s="12"/>
      <c r="B879" s="182"/>
      <c r="D879" s="182"/>
      <c r="E879" s="182"/>
      <c r="F879" s="182"/>
      <c r="I879" s="40"/>
      <c r="J879" s="186"/>
      <c r="K879" s="186"/>
      <c r="L879" s="186"/>
      <c r="M879" s="186"/>
      <c r="N879" s="186"/>
      <c r="O879" s="186"/>
      <c r="P879" s="186"/>
      <c r="Q879" s="182"/>
      <c r="R879" s="182"/>
      <c r="S879" s="182"/>
      <c r="T879" s="186"/>
      <c r="U879" s="186"/>
      <c r="AA879" s="35"/>
      <c r="AB879" s="35"/>
    </row>
    <row r="880" spans="1:28" x14ac:dyDescent="0.2">
      <c r="B880" s="182"/>
      <c r="C880" s="182"/>
      <c r="D880" s="182"/>
      <c r="E880" s="182"/>
      <c r="F880" s="182"/>
      <c r="I880" s="40"/>
      <c r="J880" s="186"/>
      <c r="K880" s="186"/>
      <c r="L880" s="186"/>
      <c r="M880" s="186"/>
      <c r="N880" s="186"/>
      <c r="O880" s="186"/>
      <c r="P880" s="186"/>
      <c r="Q880" s="182"/>
      <c r="R880" s="182"/>
      <c r="S880" s="182"/>
      <c r="T880" s="186"/>
      <c r="U880" s="186"/>
      <c r="AA880" s="35"/>
      <c r="AB880" s="35"/>
    </row>
    <row r="881" spans="1:28" ht="15" x14ac:dyDescent="0.25">
      <c r="A881" s="12"/>
      <c r="B881" s="173"/>
      <c r="C881" s="173"/>
      <c r="D881" s="173"/>
      <c r="E881" s="173"/>
      <c r="F881" s="173"/>
      <c r="G881" s="173"/>
      <c r="H881" s="173"/>
      <c r="I881" s="173"/>
      <c r="J881" s="173"/>
      <c r="K881" s="173"/>
      <c r="L881" s="173"/>
      <c r="M881" s="173"/>
      <c r="N881" s="173"/>
      <c r="O881" s="173"/>
      <c r="P881" s="173"/>
      <c r="Q881" s="173"/>
      <c r="R881" s="173"/>
      <c r="S881" s="173"/>
      <c r="T881" s="173"/>
      <c r="U881" s="173"/>
      <c r="V881" s="275"/>
      <c r="W881" s="8"/>
      <c r="X881" s="8"/>
      <c r="AA881" s="35"/>
      <c r="AB881" s="35"/>
    </row>
    <row r="882" spans="1:28" x14ac:dyDescent="0.2">
      <c r="A882" s="189"/>
      <c r="B882" s="174"/>
      <c r="C882" s="174"/>
      <c r="D882" s="174"/>
      <c r="E882" s="174"/>
      <c r="F882" s="174"/>
      <c r="G882" s="174"/>
      <c r="H882" s="174"/>
      <c r="I882" s="174"/>
      <c r="J882" s="174"/>
      <c r="K882" s="174"/>
      <c r="L882" s="174"/>
      <c r="M882" s="174"/>
      <c r="N882" s="174"/>
      <c r="O882" s="174"/>
      <c r="P882" s="174"/>
      <c r="Q882" s="174"/>
      <c r="R882" s="174"/>
      <c r="S882" s="174"/>
      <c r="T882" s="174"/>
      <c r="U882" s="174"/>
      <c r="V882" s="276"/>
      <c r="W882" s="174"/>
      <c r="X882" s="174"/>
      <c r="AA882" s="35"/>
      <c r="AB882" s="35"/>
    </row>
    <row r="883" spans="1:28" ht="15" x14ac:dyDescent="0.25">
      <c r="A883" s="178"/>
      <c r="B883" s="169"/>
      <c r="C883" s="169"/>
      <c r="D883" s="169"/>
      <c r="E883" s="169"/>
      <c r="F883" s="169"/>
      <c r="G883" s="169"/>
      <c r="H883" s="169"/>
      <c r="I883" s="169"/>
      <c r="J883" s="169"/>
      <c r="K883" s="169"/>
      <c r="L883" s="169"/>
      <c r="M883" s="169"/>
      <c r="N883" s="169"/>
      <c r="O883" s="169"/>
      <c r="P883" s="169"/>
      <c r="Q883" s="169"/>
      <c r="R883" s="169"/>
      <c r="S883" s="169"/>
      <c r="T883" s="169"/>
      <c r="U883" s="169"/>
      <c r="V883" s="175"/>
      <c r="W883" s="175"/>
      <c r="X883" s="175"/>
      <c r="AA883" s="35"/>
      <c r="AB883" s="35"/>
    </row>
    <row r="884" spans="1:28" ht="15" x14ac:dyDescent="0.25">
      <c r="A884" s="178"/>
      <c r="B884" s="178"/>
      <c r="C884" s="178"/>
      <c r="D884" s="178"/>
      <c r="E884" s="178"/>
      <c r="F884" s="178"/>
      <c r="G884" s="178"/>
      <c r="H884" s="178"/>
      <c r="I884" s="178"/>
      <c r="J884" s="178"/>
      <c r="K884" s="178"/>
      <c r="L884" s="178"/>
      <c r="M884" s="178"/>
      <c r="N884" s="178"/>
      <c r="O884" s="178"/>
      <c r="P884" s="178"/>
      <c r="Q884" s="178"/>
      <c r="R884" s="178"/>
      <c r="S884" s="178"/>
      <c r="T884" s="178"/>
      <c r="U884" s="178"/>
      <c r="V884" s="277"/>
      <c r="W884" s="176"/>
      <c r="X884" s="176"/>
      <c r="AA884" s="35"/>
      <c r="AB884" s="35"/>
    </row>
    <row r="885" spans="1:28" x14ac:dyDescent="0.2">
      <c r="A885" s="177"/>
      <c r="B885" s="186"/>
      <c r="C885" s="186"/>
      <c r="D885" s="186"/>
      <c r="E885" s="182"/>
      <c r="F885" s="182"/>
      <c r="G885" s="187"/>
      <c r="H885" s="187"/>
      <c r="I885" s="187"/>
      <c r="J885" s="182"/>
      <c r="K885" s="182"/>
      <c r="L885" s="187"/>
      <c r="M885" s="182"/>
      <c r="N885" s="182"/>
      <c r="O885" s="182"/>
      <c r="P885" s="182"/>
      <c r="Q885" s="182"/>
      <c r="R885" s="182"/>
      <c r="S885" s="182"/>
      <c r="T885" s="182"/>
      <c r="U885" s="182"/>
      <c r="AA885" s="35"/>
      <c r="AB885" s="35"/>
    </row>
    <row r="886" spans="1:28" x14ac:dyDescent="0.2">
      <c r="A886" s="177"/>
      <c r="B886" s="186"/>
      <c r="C886" s="186"/>
      <c r="D886" s="186"/>
      <c r="E886" s="182"/>
      <c r="F886" s="182"/>
      <c r="G886" s="187"/>
      <c r="H886" s="187"/>
      <c r="I886" s="40"/>
      <c r="J886" s="186"/>
      <c r="K886" s="186"/>
      <c r="L886" s="186"/>
      <c r="M886" s="186"/>
      <c r="N886" s="186"/>
      <c r="O886" s="186"/>
      <c r="P886" s="186"/>
      <c r="Q886" s="182"/>
      <c r="R886" s="182"/>
      <c r="S886" s="182"/>
      <c r="T886" s="186"/>
      <c r="U886" s="186"/>
      <c r="AA886" s="35"/>
      <c r="AB886" s="35"/>
    </row>
    <row r="887" spans="1:28" ht="15" x14ac:dyDescent="0.2">
      <c r="A887" s="188"/>
      <c r="B887" s="32"/>
      <c r="C887" s="32"/>
      <c r="D887" s="32"/>
      <c r="E887" s="32"/>
      <c r="F887" s="32"/>
      <c r="G887" s="32"/>
      <c r="I887" s="40"/>
      <c r="J887" s="186"/>
      <c r="K887" s="186"/>
      <c r="L887" s="186"/>
      <c r="M887" s="186"/>
      <c r="N887" s="186"/>
      <c r="O887" s="186"/>
      <c r="P887" s="186"/>
      <c r="Q887" s="182"/>
      <c r="R887" s="182"/>
      <c r="S887" s="182"/>
      <c r="T887" s="186"/>
      <c r="U887" s="186"/>
      <c r="AA887" s="35"/>
      <c r="AB887" s="35"/>
    </row>
    <row r="888" spans="1:28" x14ac:dyDescent="0.2">
      <c r="A888" s="12"/>
      <c r="D888" s="182"/>
      <c r="E888" s="182"/>
      <c r="F888" s="182"/>
      <c r="I888" s="40"/>
      <c r="J888" s="186"/>
      <c r="K888" s="186"/>
      <c r="L888" s="186"/>
      <c r="M888" s="186"/>
      <c r="N888" s="186"/>
      <c r="O888" s="186"/>
      <c r="P888" s="186"/>
      <c r="Q888" s="182"/>
      <c r="R888" s="182"/>
      <c r="S888" s="182"/>
      <c r="T888" s="186"/>
      <c r="U888" s="186"/>
      <c r="AA888" s="35"/>
      <c r="AB888" s="35"/>
    </row>
    <row r="889" spans="1:28" x14ac:dyDescent="0.2">
      <c r="A889" s="12"/>
      <c r="B889" s="182"/>
      <c r="D889" s="182"/>
      <c r="E889" s="182"/>
      <c r="F889" s="182"/>
      <c r="I889" s="40"/>
      <c r="J889" s="186"/>
      <c r="K889" s="186"/>
      <c r="L889" s="186"/>
      <c r="M889" s="186"/>
      <c r="N889" s="186"/>
      <c r="O889" s="186"/>
      <c r="P889" s="186"/>
      <c r="Q889" s="182"/>
      <c r="R889" s="182"/>
      <c r="S889" s="182"/>
      <c r="T889" s="186"/>
      <c r="U889" s="186"/>
      <c r="AA889" s="35"/>
      <c r="AB889" s="35"/>
    </row>
    <row r="890" spans="1:28" x14ac:dyDescent="0.2">
      <c r="A890" s="12"/>
      <c r="B890" s="182"/>
      <c r="D890" s="182"/>
      <c r="E890" s="182"/>
      <c r="F890" s="182"/>
      <c r="I890" s="40"/>
      <c r="J890" s="186"/>
      <c r="K890" s="186"/>
      <c r="L890" s="186"/>
      <c r="M890" s="186"/>
      <c r="N890" s="186"/>
      <c r="O890" s="186"/>
      <c r="P890" s="186"/>
      <c r="Q890" s="182"/>
      <c r="R890" s="182"/>
      <c r="S890" s="182"/>
      <c r="T890" s="186"/>
      <c r="U890" s="186"/>
      <c r="AA890" s="35"/>
      <c r="AB890" s="35"/>
    </row>
    <row r="891" spans="1:28" x14ac:dyDescent="0.2">
      <c r="A891" s="12"/>
      <c r="B891" s="182"/>
      <c r="D891" s="182"/>
      <c r="E891" s="182"/>
      <c r="F891" s="182"/>
      <c r="I891" s="40"/>
      <c r="J891" s="186"/>
      <c r="K891" s="186"/>
      <c r="L891" s="186"/>
      <c r="M891" s="186"/>
      <c r="N891" s="186"/>
      <c r="O891" s="186"/>
      <c r="P891" s="186"/>
      <c r="Q891" s="182"/>
      <c r="R891" s="182"/>
      <c r="S891" s="182"/>
      <c r="T891" s="186"/>
      <c r="U891" s="186"/>
      <c r="AA891" s="35"/>
      <c r="AB891" s="35"/>
    </row>
    <row r="892" spans="1:28" x14ac:dyDescent="0.2">
      <c r="B892" s="182"/>
      <c r="C892" s="182"/>
      <c r="D892" s="182"/>
      <c r="E892" s="182"/>
      <c r="F892" s="182"/>
      <c r="I892" s="40"/>
      <c r="J892" s="186"/>
      <c r="K892" s="186"/>
      <c r="L892" s="186"/>
      <c r="M892" s="186"/>
      <c r="N892" s="186"/>
      <c r="O892" s="186"/>
      <c r="P892" s="186"/>
      <c r="Q892" s="182"/>
      <c r="R892" s="182"/>
      <c r="S892" s="182"/>
      <c r="T892" s="186"/>
      <c r="U892" s="186"/>
      <c r="AA892" s="35"/>
      <c r="AB892" s="35"/>
    </row>
    <row r="893" spans="1:28" ht="15" x14ac:dyDescent="0.25">
      <c r="A893" s="12"/>
      <c r="B893" s="173"/>
      <c r="C893" s="173"/>
      <c r="D893" s="173"/>
      <c r="E893" s="173"/>
      <c r="F893" s="173"/>
      <c r="G893" s="173"/>
      <c r="H893" s="173"/>
      <c r="I893" s="173"/>
      <c r="J893" s="173"/>
      <c r="K893" s="173"/>
      <c r="L893" s="173"/>
      <c r="M893" s="173"/>
      <c r="N893" s="173"/>
      <c r="O893" s="173"/>
      <c r="P893" s="173"/>
      <c r="Q893" s="173"/>
      <c r="R893" s="173"/>
      <c r="S893" s="173"/>
      <c r="T893" s="173"/>
      <c r="U893" s="173"/>
      <c r="V893" s="275"/>
      <c r="W893" s="8"/>
      <c r="X893" s="8"/>
      <c r="AA893" s="35"/>
      <c r="AB893" s="35"/>
    </row>
    <row r="894" spans="1:28" x14ac:dyDescent="0.2">
      <c r="A894" s="189"/>
      <c r="B894" s="174"/>
      <c r="C894" s="174"/>
      <c r="D894" s="174"/>
      <c r="E894" s="174"/>
      <c r="F894" s="174"/>
      <c r="G894" s="174"/>
      <c r="H894" s="174"/>
      <c r="I894" s="174"/>
      <c r="J894" s="174"/>
      <c r="K894" s="174"/>
      <c r="L894" s="174"/>
      <c r="M894" s="174"/>
      <c r="N894" s="174"/>
      <c r="O894" s="174"/>
      <c r="P894" s="174"/>
      <c r="Q894" s="174"/>
      <c r="R894" s="174"/>
      <c r="S894" s="174"/>
      <c r="T894" s="174"/>
      <c r="U894" s="174"/>
      <c r="V894" s="276"/>
      <c r="W894" s="174"/>
      <c r="X894" s="174"/>
      <c r="AA894" s="35"/>
      <c r="AB894" s="35"/>
    </row>
    <row r="895" spans="1:28" ht="15" x14ac:dyDescent="0.25">
      <c r="A895" s="178"/>
      <c r="B895" s="169"/>
      <c r="C895" s="169"/>
      <c r="D895" s="169"/>
      <c r="E895" s="169"/>
      <c r="F895" s="169"/>
      <c r="G895" s="169"/>
      <c r="H895" s="169"/>
      <c r="I895" s="169"/>
      <c r="J895" s="169"/>
      <c r="K895" s="169"/>
      <c r="L895" s="169"/>
      <c r="M895" s="169"/>
      <c r="N895" s="169"/>
      <c r="O895" s="169"/>
      <c r="P895" s="169"/>
      <c r="Q895" s="169"/>
      <c r="R895" s="169"/>
      <c r="S895" s="169"/>
      <c r="T895" s="169"/>
      <c r="U895" s="169"/>
      <c r="V895" s="175"/>
      <c r="W895" s="175"/>
      <c r="X895" s="175"/>
      <c r="AA895" s="35"/>
      <c r="AB895" s="35"/>
    </row>
    <row r="896" spans="1:28" ht="15" x14ac:dyDescent="0.25">
      <c r="A896" s="178"/>
      <c r="B896" s="178"/>
      <c r="C896" s="178"/>
      <c r="D896" s="178"/>
      <c r="E896" s="178"/>
      <c r="F896" s="178"/>
      <c r="G896" s="178"/>
      <c r="H896" s="178"/>
      <c r="I896" s="178"/>
      <c r="J896" s="178"/>
      <c r="K896" s="178"/>
      <c r="L896" s="178"/>
      <c r="M896" s="178"/>
      <c r="N896" s="178"/>
      <c r="O896" s="178"/>
      <c r="P896" s="178"/>
      <c r="Q896" s="178"/>
      <c r="R896" s="178"/>
      <c r="S896" s="178"/>
      <c r="T896" s="178"/>
      <c r="U896" s="178"/>
      <c r="V896" s="277"/>
      <c r="W896" s="176"/>
      <c r="X896" s="176"/>
      <c r="AA896" s="35"/>
      <c r="AB896" s="35"/>
    </row>
    <row r="897" spans="1:28" x14ac:dyDescent="0.2">
      <c r="A897" s="177"/>
      <c r="B897" s="186"/>
      <c r="C897" s="186"/>
      <c r="D897" s="186"/>
      <c r="E897" s="182"/>
      <c r="F897" s="182"/>
      <c r="G897" s="187"/>
      <c r="H897" s="187"/>
      <c r="I897" s="187"/>
      <c r="J897" s="182"/>
      <c r="K897" s="182"/>
      <c r="L897" s="187"/>
      <c r="M897" s="182"/>
      <c r="N897" s="182"/>
      <c r="O897" s="182"/>
      <c r="P897" s="182"/>
      <c r="Q897" s="182"/>
      <c r="R897" s="182"/>
      <c r="S897" s="182"/>
      <c r="T897" s="182"/>
      <c r="U897" s="182"/>
      <c r="AA897" s="35"/>
      <c r="AB897" s="35"/>
    </row>
    <row r="898" spans="1:28" x14ac:dyDescent="0.2">
      <c r="A898" s="177"/>
      <c r="B898" s="186"/>
      <c r="C898" s="186"/>
      <c r="D898" s="186"/>
      <c r="E898" s="182"/>
      <c r="F898" s="182"/>
      <c r="G898" s="187"/>
      <c r="H898" s="187"/>
      <c r="I898" s="40"/>
      <c r="J898" s="186"/>
      <c r="K898" s="186"/>
      <c r="L898" s="186"/>
      <c r="M898" s="186"/>
      <c r="N898" s="186"/>
      <c r="O898" s="186"/>
      <c r="P898" s="186"/>
      <c r="Q898" s="182"/>
      <c r="R898" s="182"/>
      <c r="S898" s="182"/>
      <c r="T898" s="186"/>
      <c r="U898" s="186"/>
      <c r="AA898" s="35"/>
      <c r="AB898" s="35"/>
    </row>
    <row r="899" spans="1:28" ht="15" x14ac:dyDescent="0.2">
      <c r="A899" s="188"/>
      <c r="B899" s="32"/>
      <c r="C899" s="32"/>
      <c r="D899" s="32"/>
      <c r="E899" s="32"/>
      <c r="F899" s="32"/>
      <c r="G899" s="32"/>
      <c r="I899" s="40"/>
      <c r="J899" s="186"/>
      <c r="K899" s="186"/>
      <c r="L899" s="186"/>
      <c r="M899" s="186"/>
      <c r="N899" s="186"/>
      <c r="O899" s="186"/>
      <c r="P899" s="186"/>
      <c r="Q899" s="182"/>
      <c r="R899" s="182"/>
      <c r="S899" s="182"/>
      <c r="T899" s="186"/>
      <c r="U899" s="186"/>
      <c r="AA899" s="35"/>
      <c r="AB899" s="35"/>
    </row>
    <row r="900" spans="1:28" x14ac:dyDescent="0.2">
      <c r="A900" s="12"/>
      <c r="D900" s="182"/>
      <c r="E900" s="182"/>
      <c r="F900" s="182"/>
      <c r="I900" s="40"/>
      <c r="J900" s="186"/>
      <c r="K900" s="186"/>
      <c r="L900" s="186"/>
      <c r="M900" s="186"/>
      <c r="N900" s="186"/>
      <c r="O900" s="186"/>
      <c r="P900" s="186"/>
      <c r="Q900" s="182"/>
      <c r="R900" s="182"/>
      <c r="S900" s="182"/>
      <c r="T900" s="186"/>
      <c r="U900" s="186"/>
      <c r="AA900" s="35"/>
      <c r="AB900" s="35"/>
    </row>
    <row r="901" spans="1:28" x14ac:dyDescent="0.2">
      <c r="A901" s="12"/>
      <c r="B901" s="182"/>
      <c r="D901" s="182"/>
      <c r="E901" s="182"/>
      <c r="F901" s="182"/>
      <c r="I901" s="40"/>
      <c r="J901" s="186"/>
      <c r="K901" s="186"/>
      <c r="L901" s="186"/>
      <c r="M901" s="186"/>
      <c r="N901" s="186"/>
      <c r="O901" s="186"/>
      <c r="P901" s="186"/>
      <c r="Q901" s="182"/>
      <c r="R901" s="182"/>
      <c r="S901" s="182"/>
      <c r="T901" s="186"/>
      <c r="U901" s="186"/>
      <c r="AA901" s="35"/>
      <c r="AB901" s="35"/>
    </row>
    <row r="902" spans="1:28" x14ac:dyDescent="0.2">
      <c r="A902" s="12"/>
      <c r="B902" s="182"/>
      <c r="D902" s="182"/>
      <c r="E902" s="182"/>
      <c r="F902" s="182"/>
      <c r="I902" s="40"/>
      <c r="J902" s="186"/>
      <c r="K902" s="186"/>
      <c r="L902" s="186"/>
      <c r="M902" s="186"/>
      <c r="N902" s="186"/>
      <c r="O902" s="186"/>
      <c r="P902" s="186"/>
      <c r="Q902" s="182"/>
      <c r="R902" s="182"/>
      <c r="S902" s="182"/>
      <c r="T902" s="186"/>
      <c r="U902" s="186"/>
      <c r="AA902" s="35"/>
      <c r="AB902" s="35"/>
    </row>
    <row r="903" spans="1:28" x14ac:dyDescent="0.2">
      <c r="A903" s="12"/>
      <c r="B903" s="182"/>
      <c r="D903" s="182"/>
      <c r="E903" s="182"/>
      <c r="F903" s="182"/>
      <c r="I903" s="40"/>
      <c r="J903" s="186"/>
      <c r="K903" s="186"/>
      <c r="L903" s="186"/>
      <c r="M903" s="186"/>
      <c r="N903" s="186"/>
      <c r="O903" s="186"/>
      <c r="P903" s="186"/>
      <c r="Q903" s="182"/>
      <c r="R903" s="182"/>
      <c r="S903" s="182"/>
      <c r="T903" s="186"/>
      <c r="U903" s="186"/>
      <c r="AA903" s="35"/>
      <c r="AB903" s="35"/>
    </row>
    <row r="904" spans="1:28" x14ac:dyDescent="0.2">
      <c r="B904" s="182"/>
      <c r="C904" s="182"/>
      <c r="D904" s="182"/>
      <c r="E904" s="182"/>
      <c r="F904" s="182"/>
      <c r="I904" s="40"/>
      <c r="J904" s="186"/>
      <c r="K904" s="186"/>
      <c r="L904" s="186"/>
      <c r="M904" s="186"/>
      <c r="N904" s="186"/>
      <c r="O904" s="186"/>
      <c r="P904" s="186"/>
      <c r="Q904" s="182"/>
      <c r="R904" s="182"/>
      <c r="S904" s="182"/>
      <c r="T904" s="186"/>
      <c r="U904" s="186"/>
      <c r="AA904" s="35"/>
      <c r="AB904" s="35"/>
    </row>
    <row r="905" spans="1:28" ht="15" x14ac:dyDescent="0.25">
      <c r="A905" s="12"/>
      <c r="B905" s="173"/>
      <c r="C905" s="173"/>
      <c r="D905" s="173"/>
      <c r="E905" s="173"/>
      <c r="F905" s="173"/>
      <c r="G905" s="173"/>
      <c r="H905" s="173"/>
      <c r="I905" s="173"/>
      <c r="J905" s="173"/>
      <c r="K905" s="173"/>
      <c r="L905" s="173"/>
      <c r="M905" s="173"/>
      <c r="N905" s="173"/>
      <c r="O905" s="173"/>
      <c r="P905" s="173"/>
      <c r="Q905" s="173"/>
      <c r="R905" s="173"/>
      <c r="S905" s="173"/>
      <c r="T905" s="173"/>
      <c r="U905" s="173"/>
      <c r="V905" s="275"/>
      <c r="W905" s="8"/>
      <c r="X905" s="8"/>
      <c r="AA905" s="35"/>
      <c r="AB905" s="35"/>
    </row>
    <row r="906" spans="1:28" x14ac:dyDescent="0.2">
      <c r="A906" s="189"/>
      <c r="B906" s="174"/>
      <c r="C906" s="174"/>
      <c r="D906" s="174"/>
      <c r="E906" s="174"/>
      <c r="F906" s="174"/>
      <c r="G906" s="174"/>
      <c r="H906" s="174"/>
      <c r="I906" s="174"/>
      <c r="J906" s="174"/>
      <c r="K906" s="174"/>
      <c r="L906" s="174"/>
      <c r="M906" s="174"/>
      <c r="N906" s="174"/>
      <c r="O906" s="174"/>
      <c r="P906" s="174"/>
      <c r="Q906" s="174"/>
      <c r="R906" s="174"/>
      <c r="S906" s="174"/>
      <c r="T906" s="174"/>
      <c r="U906" s="174"/>
      <c r="V906" s="276"/>
      <c r="W906" s="174"/>
      <c r="X906" s="174"/>
      <c r="AA906" s="35"/>
      <c r="AB906" s="35"/>
    </row>
    <row r="907" spans="1:28" ht="15" x14ac:dyDescent="0.25">
      <c r="A907" s="178"/>
      <c r="B907" s="169"/>
      <c r="C907" s="169"/>
      <c r="D907" s="169"/>
      <c r="E907" s="169"/>
      <c r="F907" s="169"/>
      <c r="G907" s="169"/>
      <c r="H907" s="169"/>
      <c r="I907" s="169"/>
      <c r="J907" s="169"/>
      <c r="K907" s="169"/>
      <c r="L907" s="169"/>
      <c r="M907" s="169"/>
      <c r="N907" s="169"/>
      <c r="O907" s="169"/>
      <c r="P907" s="169"/>
      <c r="Q907" s="169"/>
      <c r="R907" s="169"/>
      <c r="S907" s="169"/>
      <c r="T907" s="169"/>
      <c r="U907" s="169"/>
      <c r="V907" s="175"/>
      <c r="W907" s="175"/>
      <c r="X907" s="175"/>
      <c r="AA907" s="35"/>
      <c r="AB907" s="35"/>
    </row>
    <row r="908" spans="1:28" ht="15" x14ac:dyDescent="0.25">
      <c r="A908" s="178"/>
      <c r="B908" s="178"/>
      <c r="C908" s="178"/>
      <c r="D908" s="178"/>
      <c r="E908" s="178"/>
      <c r="F908" s="178"/>
      <c r="G908" s="178"/>
      <c r="H908" s="178"/>
      <c r="I908" s="178"/>
      <c r="J908" s="178"/>
      <c r="K908" s="178"/>
      <c r="L908" s="178"/>
      <c r="M908" s="178"/>
      <c r="N908" s="178"/>
      <c r="O908" s="178"/>
      <c r="P908" s="178"/>
      <c r="Q908" s="178"/>
      <c r="R908" s="178"/>
      <c r="S908" s="178"/>
      <c r="T908" s="178"/>
      <c r="U908" s="178"/>
      <c r="V908" s="277"/>
      <c r="W908" s="176"/>
      <c r="X908" s="176"/>
      <c r="AA908" s="35"/>
      <c r="AB908" s="35"/>
    </row>
    <row r="909" spans="1:28" x14ac:dyDescent="0.2">
      <c r="A909" s="177"/>
      <c r="B909" s="186"/>
      <c r="C909" s="186"/>
      <c r="D909" s="186"/>
      <c r="E909" s="182"/>
      <c r="F909" s="182"/>
      <c r="G909" s="187"/>
      <c r="H909" s="187"/>
      <c r="I909" s="187"/>
      <c r="J909" s="182"/>
      <c r="K909" s="182"/>
      <c r="L909" s="187"/>
      <c r="M909" s="182"/>
      <c r="N909" s="182"/>
      <c r="O909" s="182"/>
      <c r="P909" s="182"/>
      <c r="Q909" s="182"/>
      <c r="R909" s="182"/>
      <c r="S909" s="182"/>
      <c r="T909" s="182"/>
      <c r="U909" s="182"/>
      <c r="AA909" s="35"/>
      <c r="AB909" s="35"/>
    </row>
    <row r="910" spans="1:28" x14ac:dyDescent="0.2">
      <c r="A910" s="177"/>
      <c r="B910" s="186"/>
      <c r="C910" s="186"/>
      <c r="D910" s="186"/>
      <c r="E910" s="182"/>
      <c r="F910" s="182"/>
      <c r="G910" s="187"/>
      <c r="H910" s="187"/>
      <c r="I910" s="40"/>
      <c r="J910" s="186"/>
      <c r="K910" s="186"/>
      <c r="L910" s="186"/>
      <c r="M910" s="186"/>
      <c r="N910" s="186"/>
      <c r="O910" s="186"/>
      <c r="P910" s="186"/>
      <c r="Q910" s="182"/>
      <c r="R910" s="182"/>
      <c r="S910" s="182"/>
      <c r="T910" s="186"/>
      <c r="U910" s="186"/>
      <c r="AA910" s="35"/>
      <c r="AB910" s="35"/>
    </row>
    <row r="911" spans="1:28" ht="15" x14ac:dyDescent="0.2">
      <c r="A911" s="188"/>
      <c r="B911" s="32"/>
      <c r="C911" s="32"/>
      <c r="D911" s="32"/>
      <c r="E911" s="32"/>
      <c r="F911" s="32"/>
      <c r="G911" s="32"/>
      <c r="I911" s="40"/>
      <c r="J911" s="186"/>
      <c r="K911" s="186"/>
      <c r="L911" s="186"/>
      <c r="M911" s="186"/>
      <c r="N911" s="186"/>
      <c r="O911" s="186"/>
      <c r="P911" s="186"/>
      <c r="Q911" s="182"/>
      <c r="R911" s="182"/>
      <c r="S911" s="182"/>
      <c r="T911" s="186"/>
      <c r="U911" s="186"/>
      <c r="AA911" s="35"/>
      <c r="AB911" s="35"/>
    </row>
    <row r="912" spans="1:28" x14ac:dyDescent="0.2">
      <c r="A912" s="12"/>
      <c r="D912" s="182"/>
      <c r="E912" s="182"/>
      <c r="F912" s="182"/>
      <c r="I912" s="40"/>
      <c r="J912" s="186"/>
      <c r="K912" s="186"/>
      <c r="L912" s="186"/>
      <c r="M912" s="186"/>
      <c r="N912" s="186"/>
      <c r="O912" s="186"/>
      <c r="P912" s="186"/>
      <c r="Q912" s="182"/>
      <c r="R912" s="182"/>
      <c r="S912" s="182"/>
      <c r="T912" s="186"/>
      <c r="U912" s="186"/>
      <c r="AA912" s="35"/>
      <c r="AB912" s="35"/>
    </row>
    <row r="913" spans="1:28" x14ac:dyDescent="0.2">
      <c r="A913" s="12"/>
      <c r="B913" s="182"/>
      <c r="D913" s="182"/>
      <c r="E913" s="182"/>
      <c r="F913" s="182"/>
      <c r="I913" s="40"/>
      <c r="J913" s="186"/>
      <c r="K913" s="186"/>
      <c r="L913" s="186"/>
      <c r="M913" s="186"/>
      <c r="N913" s="186"/>
      <c r="O913" s="186"/>
      <c r="P913" s="186"/>
      <c r="Q913" s="182"/>
      <c r="R913" s="182"/>
      <c r="S913" s="182"/>
      <c r="T913" s="186"/>
      <c r="U913" s="186"/>
      <c r="AA913" s="35"/>
      <c r="AB913" s="35"/>
    </row>
    <row r="914" spans="1:28" x14ac:dyDescent="0.2">
      <c r="A914" s="12"/>
      <c r="B914" s="182"/>
      <c r="D914" s="182"/>
      <c r="E914" s="182"/>
      <c r="F914" s="182"/>
      <c r="I914" s="40"/>
      <c r="J914" s="186"/>
      <c r="K914" s="186"/>
      <c r="L914" s="186"/>
      <c r="M914" s="186"/>
      <c r="N914" s="186"/>
      <c r="O914" s="186"/>
      <c r="P914" s="186"/>
      <c r="Q914" s="182"/>
      <c r="R914" s="182"/>
      <c r="S914" s="182"/>
      <c r="T914" s="186"/>
      <c r="U914" s="186"/>
      <c r="AA914" s="35"/>
      <c r="AB914" s="35"/>
    </row>
    <row r="915" spans="1:28" x14ac:dyDescent="0.2">
      <c r="A915" s="12"/>
      <c r="B915" s="182"/>
      <c r="D915" s="182"/>
      <c r="E915" s="182"/>
      <c r="F915" s="182"/>
      <c r="I915" s="40"/>
      <c r="J915" s="186"/>
      <c r="K915" s="186"/>
      <c r="L915" s="186"/>
      <c r="M915" s="186"/>
      <c r="N915" s="186"/>
      <c r="O915" s="186"/>
      <c r="P915" s="186"/>
      <c r="Q915" s="182"/>
      <c r="R915" s="182"/>
      <c r="S915" s="182"/>
      <c r="T915" s="186"/>
      <c r="U915" s="186"/>
      <c r="AA915" s="35"/>
      <c r="AB915" s="35"/>
    </row>
    <row r="916" spans="1:28" x14ac:dyDescent="0.2">
      <c r="B916" s="182"/>
      <c r="C916" s="182"/>
      <c r="D916" s="182"/>
      <c r="E916" s="182"/>
      <c r="F916" s="182"/>
      <c r="I916" s="40"/>
      <c r="J916" s="186"/>
      <c r="K916" s="186"/>
      <c r="L916" s="186"/>
      <c r="M916" s="186"/>
      <c r="N916" s="186"/>
      <c r="O916" s="186"/>
      <c r="P916" s="186"/>
      <c r="Q916" s="182"/>
      <c r="R916" s="182"/>
      <c r="S916" s="182"/>
      <c r="T916" s="186"/>
      <c r="U916" s="186"/>
      <c r="AA916" s="35"/>
      <c r="AB916" s="35"/>
    </row>
    <row r="917" spans="1:28" ht="15" x14ac:dyDescent="0.25">
      <c r="A917" s="12"/>
      <c r="B917" s="173"/>
      <c r="C917" s="173"/>
      <c r="D917" s="173"/>
      <c r="E917" s="173"/>
      <c r="F917" s="173"/>
      <c r="G917" s="173"/>
      <c r="H917" s="173"/>
      <c r="I917" s="173"/>
      <c r="J917" s="173"/>
      <c r="K917" s="173"/>
      <c r="L917" s="173"/>
      <c r="M917" s="173"/>
      <c r="N917" s="173"/>
      <c r="O917" s="173"/>
      <c r="P917" s="173"/>
      <c r="Q917" s="173"/>
      <c r="R917" s="173"/>
      <c r="S917" s="173"/>
      <c r="T917" s="173"/>
      <c r="U917" s="173"/>
      <c r="V917" s="275"/>
      <c r="W917" s="8"/>
      <c r="X917" s="8"/>
      <c r="AA917" s="35"/>
      <c r="AB917" s="35"/>
    </row>
    <row r="918" spans="1:28" x14ac:dyDescent="0.2">
      <c r="A918" s="189"/>
      <c r="B918" s="174"/>
      <c r="C918" s="174"/>
      <c r="D918" s="174"/>
      <c r="E918" s="174"/>
      <c r="F918" s="174"/>
      <c r="G918" s="174"/>
      <c r="H918" s="174"/>
      <c r="I918" s="174"/>
      <c r="J918" s="174"/>
      <c r="K918" s="174"/>
      <c r="L918" s="174"/>
      <c r="M918" s="174"/>
      <c r="N918" s="174"/>
      <c r="O918" s="174"/>
      <c r="P918" s="174"/>
      <c r="Q918" s="174"/>
      <c r="R918" s="174"/>
      <c r="S918" s="174"/>
      <c r="T918" s="174"/>
      <c r="U918" s="174"/>
      <c r="V918" s="276"/>
      <c r="W918" s="174"/>
      <c r="X918" s="174"/>
      <c r="AA918" s="35"/>
      <c r="AB918" s="35"/>
    </row>
    <row r="919" spans="1:28" ht="15" x14ac:dyDescent="0.25">
      <c r="A919" s="178"/>
      <c r="B919" s="169"/>
      <c r="C919" s="169"/>
      <c r="D919" s="169"/>
      <c r="E919" s="169"/>
      <c r="F919" s="169"/>
      <c r="G919" s="169"/>
      <c r="H919" s="169"/>
      <c r="I919" s="169"/>
      <c r="J919" s="169"/>
      <c r="K919" s="169"/>
      <c r="L919" s="169"/>
      <c r="M919" s="169"/>
      <c r="N919" s="169"/>
      <c r="O919" s="169"/>
      <c r="P919" s="169"/>
      <c r="Q919" s="169"/>
      <c r="R919" s="169"/>
      <c r="S919" s="169"/>
      <c r="T919" s="169"/>
      <c r="U919" s="169"/>
      <c r="V919" s="175"/>
      <c r="W919" s="175"/>
      <c r="X919" s="175"/>
      <c r="AA919" s="35"/>
      <c r="AB919" s="35"/>
    </row>
    <row r="920" spans="1:28" ht="15" x14ac:dyDescent="0.25">
      <c r="A920" s="178"/>
      <c r="B920" s="178"/>
      <c r="C920" s="178"/>
      <c r="D920" s="178"/>
      <c r="E920" s="178"/>
      <c r="F920" s="178"/>
      <c r="G920" s="178"/>
      <c r="H920" s="178"/>
      <c r="I920" s="178"/>
      <c r="J920" s="178"/>
      <c r="K920" s="178"/>
      <c r="L920" s="178"/>
      <c r="M920" s="178"/>
      <c r="N920" s="178"/>
      <c r="O920" s="178"/>
      <c r="P920" s="178"/>
      <c r="Q920" s="178"/>
      <c r="R920" s="178"/>
      <c r="S920" s="178"/>
      <c r="T920" s="178"/>
      <c r="U920" s="178"/>
      <c r="V920" s="277"/>
      <c r="W920" s="176"/>
      <c r="X920" s="176"/>
      <c r="AA920" s="35"/>
      <c r="AB920" s="35"/>
    </row>
    <row r="921" spans="1:28" x14ac:dyDescent="0.2">
      <c r="A921" s="177"/>
      <c r="B921" s="186"/>
      <c r="C921" s="186"/>
      <c r="D921" s="186"/>
      <c r="E921" s="182"/>
      <c r="F921" s="182"/>
      <c r="G921" s="187"/>
      <c r="H921" s="187"/>
      <c r="I921" s="187"/>
      <c r="J921" s="182"/>
      <c r="K921" s="182"/>
      <c r="L921" s="187"/>
      <c r="M921" s="182"/>
      <c r="N921" s="182"/>
      <c r="O921" s="182"/>
      <c r="P921" s="182"/>
      <c r="Q921" s="182"/>
      <c r="R921" s="182"/>
      <c r="S921" s="182"/>
      <c r="T921" s="182"/>
      <c r="U921" s="182"/>
      <c r="AA921" s="35"/>
      <c r="AB921" s="35"/>
    </row>
    <row r="922" spans="1:28" x14ac:dyDescent="0.2">
      <c r="A922" s="177"/>
      <c r="B922" s="186"/>
      <c r="C922" s="186"/>
      <c r="D922" s="186"/>
      <c r="E922" s="182"/>
      <c r="F922" s="182"/>
      <c r="G922" s="187"/>
      <c r="H922" s="187"/>
      <c r="I922" s="40"/>
      <c r="J922" s="186"/>
      <c r="K922" s="186"/>
      <c r="L922" s="186"/>
      <c r="M922" s="186"/>
      <c r="N922" s="186"/>
      <c r="O922" s="186"/>
      <c r="P922" s="186"/>
      <c r="Q922" s="182"/>
      <c r="R922" s="182"/>
      <c r="S922" s="182"/>
      <c r="T922" s="186"/>
      <c r="U922" s="186"/>
      <c r="AA922" s="35"/>
      <c r="AB922" s="35"/>
    </row>
    <row r="923" spans="1:28" x14ac:dyDescent="0.2">
      <c r="A923" s="177"/>
      <c r="B923" s="186"/>
      <c r="C923" s="186"/>
      <c r="D923" s="186"/>
      <c r="E923" s="182"/>
      <c r="F923" s="182"/>
      <c r="G923" s="187"/>
      <c r="H923" s="187"/>
      <c r="I923" s="40"/>
      <c r="J923" s="186"/>
      <c r="K923" s="186"/>
      <c r="L923" s="186"/>
      <c r="M923" s="186"/>
      <c r="N923" s="186"/>
      <c r="O923" s="186"/>
      <c r="P923" s="186"/>
      <c r="Q923" s="182"/>
      <c r="R923" s="182"/>
      <c r="S923" s="182"/>
      <c r="T923" s="186"/>
      <c r="U923" s="186"/>
      <c r="AA923" s="35"/>
      <c r="AB923" s="35"/>
    </row>
    <row r="924" spans="1:28" x14ac:dyDescent="0.2">
      <c r="A924" s="177"/>
      <c r="B924" s="186"/>
      <c r="C924" s="186"/>
      <c r="D924" s="186"/>
      <c r="E924" s="182"/>
      <c r="F924" s="182"/>
      <c r="G924" s="187"/>
      <c r="H924" s="187"/>
      <c r="I924" s="40"/>
      <c r="J924" s="186"/>
      <c r="K924" s="186"/>
      <c r="L924" s="186"/>
      <c r="M924" s="186"/>
      <c r="N924" s="186"/>
      <c r="O924" s="186"/>
      <c r="P924" s="186"/>
      <c r="Q924" s="182"/>
      <c r="R924" s="182"/>
      <c r="S924" s="182"/>
      <c r="T924" s="186"/>
      <c r="U924" s="186"/>
      <c r="AA924" s="35"/>
      <c r="AB924" s="35"/>
    </row>
    <row r="925" spans="1:28" x14ac:dyDescent="0.2">
      <c r="A925" s="177"/>
      <c r="B925" s="186"/>
      <c r="C925" s="186"/>
      <c r="D925" s="186"/>
      <c r="E925" s="182"/>
      <c r="F925" s="182"/>
      <c r="G925" s="187"/>
      <c r="H925" s="187"/>
      <c r="I925" s="40"/>
      <c r="J925" s="186"/>
      <c r="K925" s="186"/>
      <c r="L925" s="186"/>
      <c r="M925" s="186"/>
      <c r="N925" s="186"/>
      <c r="O925" s="186"/>
      <c r="P925" s="186"/>
      <c r="Q925" s="182"/>
      <c r="R925" s="182"/>
      <c r="S925" s="182"/>
      <c r="T925" s="186"/>
      <c r="U925" s="186"/>
      <c r="AA925" s="35"/>
      <c r="AB925" s="35"/>
    </row>
    <row r="926" spans="1:28" x14ac:dyDescent="0.2">
      <c r="A926" s="177"/>
      <c r="B926" s="186"/>
      <c r="C926" s="186"/>
      <c r="D926" s="186"/>
      <c r="E926" s="182"/>
      <c r="F926" s="182"/>
      <c r="G926" s="187"/>
      <c r="H926" s="187"/>
      <c r="I926" s="40"/>
      <c r="J926" s="186"/>
      <c r="K926" s="186"/>
      <c r="L926" s="186"/>
      <c r="M926" s="186"/>
      <c r="N926" s="186"/>
      <c r="O926" s="186"/>
      <c r="P926" s="186"/>
      <c r="Q926" s="182"/>
      <c r="R926" s="182"/>
      <c r="S926" s="182"/>
      <c r="T926" s="186"/>
      <c r="U926" s="186"/>
      <c r="AA926" s="35"/>
      <c r="AB926" s="35"/>
    </row>
    <row r="927" spans="1:28" x14ac:dyDescent="0.2">
      <c r="A927" s="177"/>
      <c r="B927" s="186"/>
      <c r="C927" s="186"/>
      <c r="D927" s="186"/>
      <c r="E927" s="182"/>
      <c r="F927" s="182"/>
      <c r="G927" s="187"/>
      <c r="H927" s="187"/>
      <c r="I927" s="40"/>
      <c r="J927" s="186"/>
      <c r="K927" s="186"/>
      <c r="L927" s="186"/>
      <c r="M927" s="186"/>
      <c r="N927" s="186"/>
      <c r="O927" s="186"/>
      <c r="P927" s="186"/>
      <c r="Q927" s="182"/>
      <c r="R927" s="182"/>
      <c r="S927" s="182"/>
      <c r="T927" s="186"/>
      <c r="U927" s="186"/>
      <c r="AA927" s="35"/>
      <c r="AB927" s="35"/>
    </row>
    <row r="928" spans="1:28" x14ac:dyDescent="0.2">
      <c r="A928" s="177"/>
      <c r="B928" s="186"/>
      <c r="C928" s="186"/>
      <c r="D928" s="186"/>
      <c r="E928" s="182"/>
      <c r="F928" s="182"/>
      <c r="G928" s="187"/>
      <c r="H928" s="187"/>
      <c r="I928" s="40"/>
      <c r="J928" s="186"/>
      <c r="K928" s="186"/>
      <c r="L928" s="186"/>
      <c r="M928" s="186"/>
      <c r="N928" s="186"/>
      <c r="O928" s="186"/>
      <c r="P928" s="186"/>
      <c r="Q928" s="182"/>
      <c r="R928" s="182"/>
      <c r="S928" s="182"/>
      <c r="T928" s="186"/>
      <c r="U928" s="186"/>
      <c r="AA928" s="35"/>
      <c r="AB928" s="35"/>
    </row>
    <row r="929" spans="1:28" x14ac:dyDescent="0.2">
      <c r="A929" s="177"/>
      <c r="B929" s="186"/>
      <c r="C929" s="186"/>
      <c r="D929" s="186"/>
      <c r="E929" s="182"/>
      <c r="F929" s="182"/>
      <c r="G929" s="187"/>
      <c r="H929" s="187"/>
      <c r="I929" s="40"/>
      <c r="J929" s="186"/>
      <c r="K929" s="186"/>
      <c r="L929" s="186"/>
      <c r="M929" s="186"/>
      <c r="N929" s="186"/>
      <c r="O929" s="186"/>
      <c r="P929" s="186"/>
      <c r="Q929" s="182"/>
      <c r="R929" s="182"/>
      <c r="S929" s="182"/>
      <c r="T929" s="186"/>
      <c r="U929" s="186"/>
      <c r="AA929" s="35"/>
      <c r="AB929" s="35"/>
    </row>
    <row r="930" spans="1:28" x14ac:dyDescent="0.2">
      <c r="A930" s="177"/>
      <c r="B930" s="186"/>
      <c r="C930" s="186"/>
      <c r="D930" s="186"/>
      <c r="E930" s="182"/>
      <c r="F930" s="182"/>
      <c r="G930" s="187"/>
      <c r="H930" s="187"/>
      <c r="I930" s="40"/>
      <c r="J930" s="186"/>
      <c r="K930" s="186"/>
      <c r="L930" s="186"/>
      <c r="M930" s="186"/>
      <c r="N930" s="186"/>
      <c r="O930" s="186"/>
      <c r="P930" s="186"/>
      <c r="Q930" s="182"/>
      <c r="R930" s="182"/>
      <c r="S930" s="182"/>
      <c r="T930" s="186"/>
      <c r="U930" s="186"/>
      <c r="AA930" s="35"/>
      <c r="AB930" s="35"/>
    </row>
    <row r="931" spans="1:28" x14ac:dyDescent="0.2">
      <c r="A931" s="177"/>
      <c r="B931" s="186"/>
      <c r="C931" s="186"/>
      <c r="D931" s="186"/>
      <c r="E931" s="182"/>
      <c r="F931" s="182"/>
      <c r="G931" s="187"/>
      <c r="H931" s="187"/>
      <c r="I931" s="40"/>
      <c r="J931" s="186"/>
      <c r="K931" s="186"/>
      <c r="L931" s="186"/>
      <c r="M931" s="186"/>
      <c r="N931" s="186"/>
      <c r="O931" s="186"/>
      <c r="P931" s="186"/>
      <c r="Q931" s="182"/>
      <c r="R931" s="182"/>
      <c r="S931" s="182"/>
      <c r="T931" s="186"/>
      <c r="U931" s="186"/>
      <c r="AA931" s="35"/>
      <c r="AB931" s="35"/>
    </row>
    <row r="932" spans="1:28" x14ac:dyDescent="0.2">
      <c r="A932" s="177"/>
      <c r="B932" s="186"/>
      <c r="C932" s="186"/>
      <c r="D932" s="186"/>
      <c r="E932" s="182"/>
      <c r="F932" s="182"/>
      <c r="G932" s="187"/>
      <c r="H932" s="187"/>
      <c r="I932" s="40"/>
      <c r="J932" s="186"/>
      <c r="K932" s="186"/>
      <c r="L932" s="186"/>
      <c r="M932" s="186"/>
      <c r="N932" s="186"/>
      <c r="O932" s="186"/>
      <c r="P932" s="186"/>
      <c r="Q932" s="182"/>
      <c r="R932" s="182"/>
      <c r="S932" s="182"/>
      <c r="T932" s="186"/>
      <c r="U932" s="186"/>
      <c r="AA932" s="35"/>
      <c r="AB932" s="35"/>
    </row>
    <row r="933" spans="1:28" x14ac:dyDescent="0.2">
      <c r="A933" s="177"/>
      <c r="B933" s="186"/>
      <c r="C933" s="186"/>
      <c r="D933" s="186"/>
      <c r="E933" s="182"/>
      <c r="F933" s="182"/>
      <c r="G933" s="187"/>
      <c r="H933" s="187"/>
      <c r="I933" s="40"/>
      <c r="J933" s="186"/>
      <c r="K933" s="186"/>
      <c r="L933" s="186"/>
      <c r="M933" s="186"/>
      <c r="N933" s="186"/>
      <c r="O933" s="186"/>
      <c r="P933" s="186"/>
      <c r="Q933" s="182"/>
      <c r="R933" s="182"/>
      <c r="S933" s="182"/>
      <c r="T933" s="186"/>
      <c r="U933" s="186"/>
      <c r="AA933" s="35"/>
      <c r="AB933" s="35"/>
    </row>
    <row r="934" spans="1:28" x14ac:dyDescent="0.2">
      <c r="A934" s="177"/>
      <c r="B934" s="186"/>
      <c r="C934" s="186"/>
      <c r="D934" s="186"/>
      <c r="E934" s="182"/>
      <c r="F934" s="182"/>
      <c r="G934" s="187"/>
      <c r="H934" s="187"/>
      <c r="I934" s="40"/>
      <c r="J934" s="186"/>
      <c r="K934" s="186"/>
      <c r="L934" s="186"/>
      <c r="M934" s="186"/>
      <c r="N934" s="186"/>
      <c r="O934" s="186"/>
      <c r="P934" s="186"/>
      <c r="Q934" s="182"/>
      <c r="R934" s="182"/>
      <c r="S934" s="182"/>
      <c r="T934" s="186"/>
      <c r="U934" s="186"/>
      <c r="AA934" s="35"/>
      <c r="AB934" s="35"/>
    </row>
    <row r="935" spans="1:28" x14ac:dyDescent="0.2">
      <c r="A935" s="177"/>
      <c r="B935" s="186"/>
      <c r="C935" s="186"/>
      <c r="D935" s="186"/>
      <c r="E935" s="182"/>
      <c r="F935" s="182"/>
      <c r="G935" s="187"/>
      <c r="H935" s="187"/>
      <c r="I935" s="40"/>
      <c r="J935" s="186"/>
      <c r="K935" s="186"/>
      <c r="L935" s="186"/>
      <c r="M935" s="186"/>
      <c r="N935" s="186"/>
      <c r="O935" s="186"/>
      <c r="P935" s="186"/>
      <c r="Q935" s="182"/>
      <c r="R935" s="182"/>
      <c r="S935" s="182"/>
      <c r="T935" s="186"/>
      <c r="U935" s="186"/>
      <c r="AA935" s="35"/>
      <c r="AB935" s="35"/>
    </row>
    <row r="936" spans="1:28" x14ac:dyDescent="0.2">
      <c r="A936" s="177"/>
      <c r="B936" s="186"/>
      <c r="C936" s="186"/>
      <c r="D936" s="186"/>
      <c r="E936" s="182"/>
      <c r="F936" s="182"/>
      <c r="G936" s="187"/>
      <c r="H936" s="187"/>
      <c r="I936" s="40"/>
      <c r="J936" s="186"/>
      <c r="K936" s="186"/>
      <c r="L936" s="186"/>
      <c r="M936" s="186"/>
      <c r="N936" s="186"/>
      <c r="O936" s="186"/>
      <c r="P936" s="186"/>
      <c r="Q936" s="182"/>
      <c r="R936" s="182"/>
      <c r="S936" s="182"/>
      <c r="T936" s="186"/>
      <c r="U936" s="186"/>
      <c r="AA936" s="35"/>
      <c r="AB936" s="35"/>
    </row>
    <row r="937" spans="1:28" x14ac:dyDescent="0.2">
      <c r="A937" s="177"/>
      <c r="B937" s="186"/>
      <c r="C937" s="186"/>
      <c r="D937" s="186"/>
      <c r="E937" s="182"/>
      <c r="F937" s="182"/>
      <c r="G937" s="187"/>
      <c r="H937" s="187"/>
      <c r="I937" s="40"/>
      <c r="J937" s="186"/>
      <c r="K937" s="186"/>
      <c r="L937" s="186"/>
      <c r="M937" s="186"/>
      <c r="N937" s="186"/>
      <c r="O937" s="186"/>
      <c r="P937" s="186"/>
      <c r="Q937" s="182"/>
      <c r="R937" s="182"/>
      <c r="S937" s="182"/>
      <c r="T937" s="186"/>
      <c r="U937" s="186"/>
      <c r="AA937" s="35"/>
      <c r="AB937" s="35"/>
    </row>
    <row r="938" spans="1:28" x14ac:dyDescent="0.2">
      <c r="A938" s="177"/>
      <c r="B938" s="186"/>
      <c r="C938" s="186"/>
      <c r="D938" s="186"/>
      <c r="E938" s="182"/>
      <c r="F938" s="182"/>
      <c r="G938" s="187"/>
      <c r="H938" s="187"/>
      <c r="I938" s="40"/>
      <c r="J938" s="186"/>
      <c r="K938" s="186"/>
      <c r="L938" s="186"/>
      <c r="M938" s="186"/>
      <c r="N938" s="186"/>
      <c r="O938" s="186"/>
      <c r="P938" s="186"/>
      <c r="Q938" s="182"/>
      <c r="R938" s="182"/>
      <c r="S938" s="182"/>
      <c r="T938" s="186"/>
      <c r="U938" s="186"/>
      <c r="AA938" s="35"/>
      <c r="AB938" s="35"/>
    </row>
    <row r="939" spans="1:28" x14ac:dyDescent="0.2">
      <c r="A939" s="177"/>
      <c r="B939" s="186"/>
      <c r="C939" s="186"/>
      <c r="D939" s="186"/>
      <c r="E939" s="182"/>
      <c r="F939" s="182"/>
      <c r="G939" s="187"/>
      <c r="H939" s="187"/>
      <c r="I939" s="40"/>
      <c r="J939" s="186"/>
      <c r="K939" s="186"/>
      <c r="L939" s="186"/>
      <c r="M939" s="186"/>
      <c r="N939" s="186"/>
      <c r="O939" s="186"/>
      <c r="P939" s="186"/>
      <c r="Q939" s="182"/>
      <c r="R939" s="182"/>
      <c r="S939" s="182"/>
      <c r="T939" s="186"/>
      <c r="U939" s="186"/>
      <c r="AA939" s="35"/>
      <c r="AB939" s="35"/>
    </row>
    <row r="940" spans="1:28" x14ac:dyDescent="0.2">
      <c r="A940" s="177"/>
      <c r="B940" s="186"/>
      <c r="C940" s="186"/>
      <c r="D940" s="186"/>
      <c r="E940" s="182"/>
      <c r="F940" s="182"/>
      <c r="G940" s="187"/>
      <c r="H940" s="187"/>
      <c r="I940" s="40"/>
      <c r="J940" s="186"/>
      <c r="K940" s="186"/>
      <c r="L940" s="186"/>
      <c r="M940" s="186"/>
      <c r="N940" s="186"/>
      <c r="O940" s="186"/>
      <c r="P940" s="186"/>
      <c r="Q940" s="182"/>
      <c r="R940" s="182"/>
      <c r="S940" s="182"/>
      <c r="T940" s="186"/>
      <c r="U940" s="186"/>
      <c r="AA940" s="35"/>
      <c r="AB940" s="35"/>
    </row>
    <row r="941" spans="1:28" x14ac:dyDescent="0.2">
      <c r="A941" s="177"/>
      <c r="B941" s="186"/>
      <c r="C941" s="186"/>
      <c r="D941" s="186"/>
      <c r="E941" s="182"/>
      <c r="F941" s="182"/>
      <c r="G941" s="187"/>
      <c r="H941" s="187"/>
      <c r="I941" s="40"/>
      <c r="J941" s="186"/>
      <c r="K941" s="186"/>
      <c r="L941" s="186"/>
      <c r="M941" s="186"/>
      <c r="N941" s="186"/>
      <c r="O941" s="186"/>
      <c r="P941" s="186"/>
      <c r="Q941" s="182"/>
      <c r="R941" s="182"/>
      <c r="S941" s="182"/>
      <c r="T941" s="186"/>
      <c r="U941" s="186"/>
      <c r="AA941" s="35"/>
      <c r="AB941" s="35"/>
    </row>
    <row r="942" spans="1:28" x14ac:dyDescent="0.2">
      <c r="A942" s="177"/>
      <c r="B942" s="186"/>
      <c r="C942" s="186"/>
      <c r="D942" s="186"/>
      <c r="E942" s="182"/>
      <c r="F942" s="182"/>
      <c r="G942" s="187"/>
      <c r="H942" s="187"/>
      <c r="I942" s="40"/>
      <c r="J942" s="186"/>
      <c r="K942" s="186"/>
      <c r="L942" s="186"/>
      <c r="M942" s="186"/>
      <c r="N942" s="186"/>
      <c r="O942" s="186"/>
      <c r="P942" s="186"/>
      <c r="Q942" s="182"/>
      <c r="R942" s="182"/>
      <c r="S942" s="182"/>
      <c r="T942" s="186"/>
      <c r="U942" s="186"/>
      <c r="AA942" s="35"/>
      <c r="AB942" s="35"/>
    </row>
    <row r="943" spans="1:28" x14ac:dyDescent="0.2">
      <c r="A943" s="177"/>
      <c r="B943" s="186"/>
      <c r="C943" s="186"/>
      <c r="D943" s="186"/>
      <c r="E943" s="182"/>
      <c r="F943" s="182"/>
      <c r="G943" s="187"/>
      <c r="H943" s="187"/>
      <c r="I943" s="40"/>
      <c r="J943" s="186"/>
      <c r="K943" s="186"/>
      <c r="L943" s="186"/>
      <c r="M943" s="186"/>
      <c r="N943" s="186"/>
      <c r="O943" s="186"/>
      <c r="P943" s="186"/>
      <c r="Q943" s="182"/>
      <c r="R943" s="182"/>
      <c r="S943" s="182"/>
      <c r="T943" s="186"/>
      <c r="U943" s="186"/>
      <c r="AA943" s="35"/>
      <c r="AB943" s="35"/>
    </row>
    <row r="944" spans="1:28" x14ac:dyDescent="0.2">
      <c r="A944" s="177"/>
      <c r="B944" s="186"/>
      <c r="C944" s="186"/>
      <c r="D944" s="186"/>
      <c r="E944" s="182"/>
      <c r="F944" s="182"/>
      <c r="G944" s="187"/>
      <c r="H944" s="187"/>
      <c r="I944" s="40"/>
      <c r="J944" s="186"/>
      <c r="K944" s="186"/>
      <c r="L944" s="186"/>
      <c r="M944" s="186"/>
      <c r="N944" s="186"/>
      <c r="O944" s="186"/>
      <c r="P944" s="186"/>
      <c r="Q944" s="182"/>
      <c r="R944" s="182"/>
      <c r="S944" s="182"/>
      <c r="T944" s="186"/>
      <c r="U944" s="186"/>
      <c r="AA944" s="35"/>
      <c r="AB944" s="35"/>
    </row>
    <row r="945" spans="1:28" x14ac:dyDescent="0.2">
      <c r="A945" s="177"/>
      <c r="B945" s="186"/>
      <c r="C945" s="186"/>
      <c r="D945" s="186"/>
      <c r="E945" s="182"/>
      <c r="F945" s="182"/>
      <c r="G945" s="187"/>
      <c r="H945" s="187"/>
      <c r="I945" s="40"/>
      <c r="J945" s="186"/>
      <c r="K945" s="186"/>
      <c r="L945" s="186"/>
      <c r="M945" s="186"/>
      <c r="N945" s="186"/>
      <c r="O945" s="186"/>
      <c r="P945" s="186"/>
      <c r="Q945" s="182"/>
      <c r="R945" s="182"/>
      <c r="S945" s="182"/>
      <c r="T945" s="186"/>
      <c r="U945" s="186"/>
      <c r="AA945" s="35"/>
      <c r="AB945" s="35"/>
    </row>
    <row r="946" spans="1:28" x14ac:dyDescent="0.2">
      <c r="A946" s="177"/>
      <c r="B946" s="186"/>
      <c r="C946" s="186"/>
      <c r="D946" s="186"/>
      <c r="E946" s="182"/>
      <c r="F946" s="182"/>
      <c r="G946" s="187"/>
      <c r="H946" s="187"/>
      <c r="I946" s="40"/>
      <c r="J946" s="186"/>
      <c r="K946" s="186"/>
      <c r="L946" s="186"/>
      <c r="M946" s="186"/>
      <c r="N946" s="186"/>
      <c r="O946" s="186"/>
      <c r="P946" s="186"/>
      <c r="Q946" s="182"/>
      <c r="R946" s="182"/>
      <c r="S946" s="182"/>
      <c r="T946" s="186"/>
      <c r="U946" s="186"/>
      <c r="AA946" s="35"/>
      <c r="AB946" s="35"/>
    </row>
    <row r="947" spans="1:28" x14ac:dyDescent="0.2">
      <c r="A947" s="177"/>
      <c r="B947" s="186"/>
      <c r="C947" s="186"/>
      <c r="D947" s="186"/>
      <c r="E947" s="182"/>
      <c r="F947" s="182"/>
      <c r="G947" s="187"/>
      <c r="H947" s="187"/>
      <c r="I947" s="40"/>
      <c r="J947" s="186"/>
      <c r="K947" s="186"/>
      <c r="L947" s="186"/>
      <c r="M947" s="186"/>
      <c r="N947" s="186"/>
      <c r="O947" s="186"/>
      <c r="P947" s="186"/>
      <c r="Q947" s="182"/>
      <c r="R947" s="182"/>
      <c r="S947" s="182"/>
      <c r="T947" s="186"/>
      <c r="U947" s="186"/>
      <c r="AA947" s="35"/>
      <c r="AB947" s="35"/>
    </row>
    <row r="948" spans="1:28" x14ac:dyDescent="0.2">
      <c r="A948" s="177"/>
      <c r="B948" s="186"/>
      <c r="C948" s="186"/>
      <c r="D948" s="186"/>
      <c r="E948" s="182"/>
      <c r="F948" s="182"/>
      <c r="G948" s="187"/>
      <c r="H948" s="187"/>
      <c r="I948" s="40"/>
      <c r="J948" s="186"/>
      <c r="K948" s="186"/>
      <c r="L948" s="186"/>
      <c r="M948" s="186"/>
      <c r="N948" s="186"/>
      <c r="O948" s="186"/>
      <c r="P948" s="186"/>
      <c r="Q948" s="182"/>
      <c r="R948" s="182"/>
      <c r="S948" s="182"/>
      <c r="T948" s="186"/>
      <c r="U948" s="186"/>
      <c r="AA948" s="35"/>
      <c r="AB948" s="35"/>
    </row>
    <row r="949" spans="1:28" x14ac:dyDescent="0.2">
      <c r="A949" s="177"/>
      <c r="B949" s="186"/>
      <c r="C949" s="186"/>
      <c r="D949" s="186"/>
      <c r="E949" s="182"/>
      <c r="F949" s="182"/>
      <c r="G949" s="187"/>
      <c r="H949" s="187"/>
      <c r="I949" s="40"/>
      <c r="J949" s="186"/>
      <c r="K949" s="186"/>
      <c r="L949" s="186"/>
      <c r="M949" s="186"/>
      <c r="N949" s="186"/>
      <c r="O949" s="186"/>
      <c r="P949" s="186"/>
      <c r="Q949" s="182"/>
      <c r="R949" s="182"/>
      <c r="S949" s="182"/>
      <c r="T949" s="186"/>
      <c r="U949" s="186"/>
      <c r="AA949" s="35"/>
      <c r="AB949" s="35"/>
    </row>
    <row r="950" spans="1:28" x14ac:dyDescent="0.2">
      <c r="A950" s="177"/>
      <c r="B950" s="186"/>
      <c r="C950" s="186"/>
      <c r="D950" s="186"/>
      <c r="E950" s="182"/>
      <c r="F950" s="182"/>
      <c r="G950" s="187"/>
      <c r="H950" s="187"/>
      <c r="I950" s="40"/>
      <c r="J950" s="186"/>
      <c r="K950" s="186"/>
      <c r="L950" s="186"/>
      <c r="M950" s="186"/>
      <c r="N950" s="186"/>
      <c r="O950" s="186"/>
      <c r="P950" s="186"/>
      <c r="Q950" s="182"/>
      <c r="R950" s="182"/>
      <c r="S950" s="182"/>
      <c r="T950" s="186"/>
      <c r="U950" s="186"/>
      <c r="AA950" s="35"/>
      <c r="AB950" s="35"/>
    </row>
    <row r="951" spans="1:28" x14ac:dyDescent="0.2">
      <c r="A951" s="177"/>
      <c r="B951" s="186"/>
      <c r="C951" s="186"/>
      <c r="D951" s="186"/>
      <c r="E951" s="182"/>
      <c r="F951" s="182"/>
      <c r="G951" s="187"/>
      <c r="H951" s="187"/>
      <c r="I951" s="40"/>
      <c r="J951" s="186"/>
      <c r="K951" s="186"/>
      <c r="L951" s="186"/>
      <c r="M951" s="186"/>
      <c r="N951" s="186"/>
      <c r="O951" s="186"/>
      <c r="P951" s="186"/>
      <c r="Q951" s="182"/>
      <c r="R951" s="182"/>
      <c r="S951" s="182"/>
      <c r="T951" s="186"/>
      <c r="U951" s="186"/>
      <c r="AA951" s="35"/>
      <c r="AB951" s="35"/>
    </row>
    <row r="952" spans="1:28" x14ac:dyDescent="0.2">
      <c r="A952" s="177"/>
      <c r="B952" s="186"/>
      <c r="C952" s="186"/>
      <c r="D952" s="186"/>
      <c r="E952" s="182"/>
      <c r="F952" s="182"/>
      <c r="G952" s="187"/>
      <c r="H952" s="187"/>
      <c r="I952" s="40"/>
      <c r="J952" s="186"/>
      <c r="K952" s="186"/>
      <c r="L952" s="186"/>
      <c r="M952" s="186"/>
      <c r="N952" s="186"/>
      <c r="O952" s="186"/>
      <c r="P952" s="186"/>
      <c r="Q952" s="182"/>
      <c r="R952" s="182"/>
      <c r="S952" s="182"/>
      <c r="T952" s="186"/>
      <c r="U952" s="186"/>
      <c r="AA952" s="35"/>
      <c r="AB952" s="35"/>
    </row>
    <row r="953" spans="1:28" x14ac:dyDescent="0.2">
      <c r="A953" s="177"/>
      <c r="B953" s="186"/>
      <c r="C953" s="186"/>
      <c r="D953" s="186"/>
      <c r="E953" s="182"/>
      <c r="F953" s="182"/>
      <c r="G953" s="187"/>
      <c r="H953" s="187"/>
      <c r="I953" s="40"/>
      <c r="J953" s="186"/>
      <c r="K953" s="186"/>
      <c r="L953" s="186"/>
      <c r="M953" s="186"/>
      <c r="N953" s="186"/>
      <c r="O953" s="186"/>
      <c r="P953" s="186"/>
      <c r="Q953" s="182"/>
      <c r="R953" s="182"/>
      <c r="S953" s="182"/>
      <c r="T953" s="186"/>
      <c r="U953" s="186"/>
      <c r="AA953" s="35"/>
      <c r="AB953" s="35"/>
    </row>
    <row r="954" spans="1:28" x14ac:dyDescent="0.2">
      <c r="A954" s="177"/>
      <c r="B954" s="186"/>
      <c r="C954" s="186"/>
      <c r="D954" s="186"/>
      <c r="E954" s="182"/>
      <c r="F954" s="182"/>
      <c r="G954" s="187"/>
      <c r="H954" s="187"/>
      <c r="I954" s="40"/>
      <c r="J954" s="186"/>
      <c r="K954" s="186"/>
      <c r="L954" s="186"/>
      <c r="M954" s="186"/>
      <c r="N954" s="186"/>
      <c r="O954" s="186"/>
      <c r="P954" s="186"/>
      <c r="Q954" s="182"/>
      <c r="R954" s="182"/>
      <c r="S954" s="182"/>
      <c r="T954" s="186"/>
      <c r="U954" s="186"/>
      <c r="AA954" s="35"/>
      <c r="AB954" s="35"/>
    </row>
    <row r="955" spans="1:28" x14ac:dyDescent="0.2">
      <c r="A955" s="177"/>
      <c r="B955" s="186"/>
      <c r="C955" s="186"/>
      <c r="D955" s="186"/>
      <c r="E955" s="182"/>
      <c r="F955" s="182"/>
      <c r="G955" s="187"/>
      <c r="H955" s="187"/>
      <c r="I955" s="40"/>
      <c r="J955" s="186"/>
      <c r="K955" s="186"/>
      <c r="L955" s="186"/>
      <c r="M955" s="186"/>
      <c r="N955" s="186"/>
      <c r="O955" s="186"/>
      <c r="P955" s="186"/>
      <c r="Q955" s="182"/>
      <c r="R955" s="182"/>
      <c r="S955" s="182"/>
      <c r="T955" s="186"/>
      <c r="U955" s="186"/>
      <c r="AA955" s="35"/>
      <c r="AB955" s="35"/>
    </row>
    <row r="956" spans="1:28" x14ac:dyDescent="0.2">
      <c r="A956" s="177"/>
      <c r="B956" s="186"/>
      <c r="C956" s="186"/>
      <c r="D956" s="186"/>
      <c r="E956" s="182"/>
      <c r="F956" s="182"/>
      <c r="G956" s="187"/>
      <c r="H956" s="187"/>
      <c r="I956" s="40"/>
      <c r="J956" s="186"/>
      <c r="K956" s="186"/>
      <c r="L956" s="186"/>
      <c r="M956" s="186"/>
      <c r="N956" s="186"/>
      <c r="O956" s="186"/>
      <c r="P956" s="186"/>
      <c r="Q956" s="182"/>
      <c r="R956" s="182"/>
      <c r="S956" s="182"/>
      <c r="T956" s="186"/>
      <c r="U956" s="186"/>
      <c r="AA956" s="35"/>
      <c r="AB956" s="35"/>
    </row>
    <row r="957" spans="1:28" x14ac:dyDescent="0.2">
      <c r="A957" s="177"/>
      <c r="B957" s="186"/>
      <c r="C957" s="186"/>
      <c r="D957" s="186"/>
      <c r="E957" s="182"/>
      <c r="F957" s="182"/>
      <c r="G957" s="187"/>
      <c r="H957" s="187"/>
      <c r="I957" s="40"/>
      <c r="J957" s="186"/>
      <c r="K957" s="186"/>
      <c r="L957" s="186"/>
      <c r="M957" s="186"/>
      <c r="N957" s="186"/>
      <c r="O957" s="186"/>
      <c r="P957" s="186"/>
      <c r="Q957" s="182"/>
      <c r="R957" s="182"/>
      <c r="S957" s="182"/>
      <c r="T957" s="186"/>
      <c r="U957" s="186"/>
      <c r="AA957" s="35"/>
      <c r="AB957" s="35"/>
    </row>
    <row r="958" spans="1:28" x14ac:dyDescent="0.2">
      <c r="A958" s="177"/>
      <c r="B958" s="186"/>
      <c r="C958" s="186"/>
      <c r="D958" s="186"/>
      <c r="E958" s="182"/>
      <c r="F958" s="182"/>
      <c r="G958" s="187"/>
      <c r="H958" s="187"/>
      <c r="I958" s="40"/>
      <c r="J958" s="186"/>
      <c r="K958" s="186"/>
      <c r="L958" s="186"/>
      <c r="M958" s="186"/>
      <c r="N958" s="186"/>
      <c r="O958" s="186"/>
      <c r="P958" s="186"/>
      <c r="Q958" s="182"/>
      <c r="R958" s="182"/>
      <c r="S958" s="182"/>
      <c r="T958" s="186"/>
      <c r="U958" s="186"/>
      <c r="AA958" s="35"/>
      <c r="AB958" s="35"/>
    </row>
    <row r="959" spans="1:28" x14ac:dyDescent="0.2">
      <c r="A959" s="177"/>
      <c r="B959" s="186"/>
      <c r="C959" s="186"/>
      <c r="D959" s="186"/>
      <c r="E959" s="182"/>
      <c r="F959" s="182"/>
      <c r="G959" s="187"/>
      <c r="H959" s="187"/>
      <c r="I959" s="40"/>
      <c r="J959" s="186"/>
      <c r="K959" s="186"/>
      <c r="L959" s="186"/>
      <c r="M959" s="186"/>
      <c r="N959" s="186"/>
      <c r="O959" s="186"/>
      <c r="P959" s="186"/>
      <c r="Q959" s="182"/>
      <c r="R959" s="182"/>
      <c r="S959" s="182"/>
      <c r="T959" s="186"/>
      <c r="U959" s="186"/>
      <c r="AA959" s="35"/>
      <c r="AB959" s="35"/>
    </row>
    <row r="960" spans="1:28" x14ac:dyDescent="0.2">
      <c r="A960" s="177"/>
      <c r="B960" s="186"/>
      <c r="C960" s="186"/>
      <c r="D960" s="186"/>
      <c r="E960" s="182"/>
      <c r="F960" s="182"/>
      <c r="G960" s="187"/>
      <c r="H960" s="187"/>
      <c r="I960" s="40"/>
      <c r="J960" s="186"/>
      <c r="K960" s="186"/>
      <c r="L960" s="186"/>
      <c r="M960" s="186"/>
      <c r="N960" s="186"/>
      <c r="O960" s="186"/>
      <c r="P960" s="186"/>
      <c r="Q960" s="182"/>
      <c r="R960" s="182"/>
      <c r="S960" s="182"/>
      <c r="T960" s="186"/>
      <c r="U960" s="186"/>
      <c r="AA960" s="35"/>
      <c r="AB960" s="35"/>
    </row>
    <row r="961" spans="1:28" x14ac:dyDescent="0.2">
      <c r="A961" s="177"/>
      <c r="B961" s="186"/>
      <c r="C961" s="186"/>
      <c r="D961" s="186"/>
      <c r="E961" s="182"/>
      <c r="F961" s="182"/>
      <c r="G961" s="187"/>
      <c r="H961" s="187"/>
      <c r="I961" s="40"/>
      <c r="J961" s="186"/>
      <c r="K961" s="186"/>
      <c r="L961" s="186"/>
      <c r="M961" s="186"/>
      <c r="N961" s="186"/>
      <c r="O961" s="186"/>
      <c r="P961" s="186"/>
      <c r="Q961" s="182"/>
      <c r="R961" s="182"/>
      <c r="S961" s="182"/>
      <c r="T961" s="186"/>
      <c r="U961" s="186"/>
      <c r="AA961" s="35"/>
      <c r="AB961" s="35"/>
    </row>
    <row r="962" spans="1:28" x14ac:dyDescent="0.2">
      <c r="A962" s="177"/>
      <c r="B962" s="186"/>
      <c r="C962" s="186"/>
      <c r="D962" s="186"/>
      <c r="E962" s="182"/>
      <c r="F962" s="182"/>
      <c r="G962" s="187"/>
      <c r="H962" s="187"/>
      <c r="I962" s="40"/>
      <c r="J962" s="186"/>
      <c r="K962" s="186"/>
      <c r="L962" s="186"/>
      <c r="M962" s="186"/>
      <c r="N962" s="186"/>
      <c r="O962" s="186"/>
      <c r="P962" s="186"/>
      <c r="Q962" s="182"/>
      <c r="R962" s="182"/>
      <c r="S962" s="182"/>
      <c r="T962" s="186"/>
      <c r="U962" s="186"/>
      <c r="AA962" s="35"/>
      <c r="AB962" s="35"/>
    </row>
    <row r="963" spans="1:28" x14ac:dyDescent="0.2">
      <c r="A963" s="177"/>
      <c r="B963" s="186"/>
      <c r="C963" s="186"/>
      <c r="D963" s="186"/>
      <c r="E963" s="182"/>
      <c r="F963" s="182"/>
      <c r="G963" s="187"/>
      <c r="H963" s="187"/>
      <c r="I963" s="40"/>
      <c r="J963" s="186"/>
      <c r="K963" s="186"/>
      <c r="L963" s="186"/>
      <c r="M963" s="186"/>
      <c r="N963" s="186"/>
      <c r="O963" s="186"/>
      <c r="P963" s="186"/>
      <c r="Q963" s="182"/>
      <c r="R963" s="182"/>
      <c r="S963" s="182"/>
      <c r="T963" s="186"/>
      <c r="U963" s="186"/>
      <c r="AA963" s="35"/>
      <c r="AB963" s="35"/>
    </row>
    <row r="964" spans="1:28" x14ac:dyDescent="0.2">
      <c r="A964" s="177"/>
      <c r="B964" s="186"/>
      <c r="C964" s="186"/>
      <c r="D964" s="186"/>
      <c r="E964" s="182"/>
      <c r="F964" s="182"/>
      <c r="G964" s="187"/>
      <c r="H964" s="187"/>
      <c r="I964" s="40"/>
      <c r="J964" s="186"/>
      <c r="K964" s="186"/>
      <c r="L964" s="186"/>
      <c r="M964" s="186"/>
      <c r="N964" s="186"/>
      <c r="O964" s="186"/>
      <c r="P964" s="186"/>
      <c r="Q964" s="182"/>
      <c r="R964" s="182"/>
      <c r="S964" s="182"/>
      <c r="T964" s="186"/>
      <c r="U964" s="186"/>
      <c r="AA964" s="35"/>
      <c r="AB964" s="35"/>
    </row>
    <row r="965" spans="1:28" x14ac:dyDescent="0.2">
      <c r="A965" s="177"/>
      <c r="B965" s="186"/>
      <c r="C965" s="186"/>
      <c r="D965" s="186"/>
      <c r="E965" s="182"/>
      <c r="F965" s="182"/>
      <c r="G965" s="187"/>
      <c r="H965" s="187"/>
      <c r="I965" s="40"/>
      <c r="J965" s="186"/>
      <c r="K965" s="186"/>
      <c r="L965" s="186"/>
      <c r="M965" s="186"/>
      <c r="N965" s="186"/>
      <c r="O965" s="186"/>
      <c r="P965" s="186"/>
      <c r="Q965" s="182"/>
      <c r="R965" s="182"/>
      <c r="S965" s="182"/>
      <c r="T965" s="186"/>
      <c r="U965" s="186"/>
      <c r="AA965" s="35"/>
      <c r="AB965" s="35"/>
    </row>
    <row r="966" spans="1:28" x14ac:dyDescent="0.2">
      <c r="A966" s="177"/>
      <c r="B966" s="186"/>
      <c r="C966" s="186"/>
      <c r="D966" s="186"/>
      <c r="E966" s="182"/>
      <c r="F966" s="182"/>
      <c r="G966" s="187"/>
      <c r="H966" s="187"/>
      <c r="I966" s="40"/>
      <c r="J966" s="186"/>
      <c r="K966" s="186"/>
      <c r="L966" s="186"/>
      <c r="M966" s="186"/>
      <c r="N966" s="186"/>
      <c r="O966" s="186"/>
      <c r="P966" s="186"/>
      <c r="Q966" s="182"/>
      <c r="R966" s="182"/>
      <c r="S966" s="182"/>
      <c r="T966" s="186"/>
      <c r="U966" s="186"/>
      <c r="AA966" s="35"/>
      <c r="AB966" s="35"/>
    </row>
    <row r="967" spans="1:28" x14ac:dyDescent="0.2">
      <c r="A967" s="177"/>
      <c r="B967" s="186"/>
      <c r="C967" s="186"/>
      <c r="D967" s="186"/>
      <c r="E967" s="182"/>
      <c r="F967" s="182"/>
      <c r="G967" s="187"/>
      <c r="H967" s="187"/>
      <c r="I967" s="40"/>
      <c r="J967" s="186"/>
      <c r="K967" s="186"/>
      <c r="L967" s="186"/>
      <c r="M967" s="186"/>
      <c r="N967" s="186"/>
      <c r="O967" s="186"/>
      <c r="P967" s="186"/>
      <c r="Q967" s="182"/>
      <c r="R967" s="182"/>
      <c r="S967" s="182"/>
      <c r="T967" s="186"/>
      <c r="U967" s="186"/>
      <c r="AA967" s="35"/>
      <c r="AB967" s="35"/>
    </row>
    <row r="968" spans="1:28" x14ac:dyDescent="0.2">
      <c r="A968" s="177"/>
      <c r="B968" s="186"/>
      <c r="C968" s="186"/>
      <c r="D968" s="186"/>
      <c r="E968" s="182"/>
      <c r="F968" s="182"/>
      <c r="G968" s="187"/>
      <c r="H968" s="187"/>
      <c r="I968" s="40"/>
      <c r="J968" s="186"/>
      <c r="K968" s="186"/>
      <c r="L968" s="186"/>
      <c r="M968" s="186"/>
      <c r="N968" s="186"/>
      <c r="O968" s="186"/>
      <c r="P968" s="186"/>
      <c r="Q968" s="182"/>
      <c r="R968" s="182"/>
      <c r="S968" s="182"/>
      <c r="T968" s="186"/>
      <c r="U968" s="186"/>
      <c r="AA968" s="35"/>
      <c r="AB968" s="35"/>
    </row>
    <row r="969" spans="1:28" x14ac:dyDescent="0.2">
      <c r="A969" s="177"/>
      <c r="B969" s="186"/>
      <c r="C969" s="186"/>
      <c r="D969" s="186"/>
      <c r="E969" s="182"/>
      <c r="F969" s="182"/>
      <c r="G969" s="187"/>
      <c r="H969" s="187"/>
      <c r="I969" s="40"/>
      <c r="J969" s="186"/>
      <c r="K969" s="186"/>
      <c r="L969" s="186"/>
      <c r="M969" s="186"/>
      <c r="N969" s="186"/>
      <c r="O969" s="186"/>
      <c r="P969" s="186"/>
      <c r="Q969" s="182"/>
      <c r="R969" s="182"/>
      <c r="S969" s="182"/>
      <c r="T969" s="186"/>
      <c r="U969" s="186"/>
      <c r="AA969" s="35"/>
      <c r="AB969" s="35"/>
    </row>
    <row r="970" spans="1:28" x14ac:dyDescent="0.2">
      <c r="A970" s="177"/>
      <c r="B970" s="186"/>
      <c r="C970" s="186"/>
      <c r="D970" s="186"/>
      <c r="E970" s="182"/>
      <c r="F970" s="182"/>
      <c r="G970" s="187"/>
      <c r="H970" s="187"/>
      <c r="I970" s="40"/>
      <c r="J970" s="186"/>
      <c r="K970" s="186"/>
      <c r="L970" s="186"/>
      <c r="M970" s="186"/>
      <c r="N970" s="186"/>
      <c r="O970" s="186"/>
      <c r="P970" s="186"/>
      <c r="Q970" s="182"/>
      <c r="R970" s="182"/>
      <c r="S970" s="182"/>
      <c r="T970" s="186"/>
      <c r="U970" s="186"/>
      <c r="AA970" s="35"/>
      <c r="AB970" s="35"/>
    </row>
    <row r="971" spans="1:28" x14ac:dyDescent="0.2">
      <c r="A971" s="177"/>
      <c r="B971" s="186"/>
      <c r="C971" s="186"/>
      <c r="D971" s="186"/>
      <c r="E971" s="182"/>
      <c r="F971" s="182"/>
      <c r="G971" s="187"/>
      <c r="H971" s="187"/>
      <c r="I971" s="40"/>
      <c r="J971" s="186"/>
      <c r="K971" s="186"/>
      <c r="L971" s="186"/>
      <c r="M971" s="186"/>
      <c r="N971" s="186"/>
      <c r="O971" s="186"/>
      <c r="P971" s="186"/>
      <c r="Q971" s="182"/>
      <c r="R971" s="182"/>
      <c r="S971" s="182"/>
      <c r="T971" s="186"/>
      <c r="U971" s="186"/>
      <c r="AA971" s="35"/>
      <c r="AB971" s="35"/>
    </row>
    <row r="972" spans="1:28" x14ac:dyDescent="0.2">
      <c r="A972" s="177"/>
      <c r="B972" s="186"/>
      <c r="C972" s="186"/>
      <c r="D972" s="186"/>
      <c r="E972" s="182"/>
      <c r="F972" s="182"/>
      <c r="G972" s="187"/>
      <c r="H972" s="187"/>
      <c r="I972" s="40"/>
      <c r="J972" s="186"/>
      <c r="K972" s="186"/>
      <c r="L972" s="186"/>
      <c r="M972" s="186"/>
      <c r="N972" s="186"/>
      <c r="O972" s="186"/>
      <c r="P972" s="186"/>
      <c r="Q972" s="182"/>
      <c r="R972" s="182"/>
      <c r="S972" s="182"/>
      <c r="T972" s="186"/>
      <c r="U972" s="186"/>
      <c r="AA972" s="35"/>
      <c r="AB972" s="35"/>
    </row>
    <row r="973" spans="1:28" x14ac:dyDescent="0.2">
      <c r="A973" s="177"/>
      <c r="B973" s="186"/>
      <c r="C973" s="186"/>
      <c r="D973" s="186"/>
      <c r="E973" s="182"/>
      <c r="F973" s="182"/>
      <c r="G973" s="187"/>
      <c r="H973" s="187"/>
      <c r="I973" s="40"/>
      <c r="J973" s="186"/>
      <c r="K973" s="186"/>
      <c r="L973" s="186"/>
      <c r="M973" s="186"/>
      <c r="N973" s="186"/>
      <c r="O973" s="186"/>
      <c r="P973" s="186"/>
      <c r="Q973" s="182"/>
      <c r="R973" s="182"/>
      <c r="S973" s="182"/>
      <c r="T973" s="186"/>
      <c r="U973" s="186"/>
      <c r="AA973" s="35"/>
      <c r="AB973" s="35"/>
    </row>
    <row r="974" spans="1:28" x14ac:dyDescent="0.2">
      <c r="A974" s="177"/>
      <c r="B974" s="186"/>
      <c r="C974" s="186"/>
      <c r="D974" s="186"/>
      <c r="E974" s="182"/>
      <c r="F974" s="182"/>
      <c r="G974" s="187"/>
      <c r="H974" s="187"/>
      <c r="I974" s="40"/>
      <c r="J974" s="186"/>
      <c r="K974" s="186"/>
      <c r="L974" s="186"/>
      <c r="M974" s="186"/>
      <c r="N974" s="186"/>
      <c r="O974" s="186"/>
      <c r="P974" s="186"/>
      <c r="Q974" s="182"/>
      <c r="R974" s="182"/>
      <c r="S974" s="182"/>
      <c r="T974" s="186"/>
      <c r="U974" s="186"/>
      <c r="AA974" s="35"/>
      <c r="AB974" s="35"/>
    </row>
    <row r="975" spans="1:28" x14ac:dyDescent="0.2">
      <c r="A975" s="177"/>
      <c r="B975" s="186"/>
      <c r="C975" s="186"/>
      <c r="D975" s="186"/>
      <c r="E975" s="182"/>
      <c r="F975" s="182"/>
      <c r="G975" s="187"/>
      <c r="H975" s="187"/>
      <c r="I975" s="40"/>
      <c r="J975" s="186"/>
      <c r="K975" s="186"/>
      <c r="L975" s="186"/>
      <c r="M975" s="186"/>
      <c r="N975" s="186"/>
      <c r="O975" s="186"/>
      <c r="P975" s="186"/>
      <c r="Q975" s="182"/>
      <c r="R975" s="182"/>
      <c r="S975" s="182"/>
      <c r="T975" s="186"/>
      <c r="U975" s="186"/>
      <c r="AA975" s="35"/>
      <c r="AB975" s="35"/>
    </row>
    <row r="976" spans="1:28" x14ac:dyDescent="0.2">
      <c r="A976" s="177"/>
      <c r="B976" s="186"/>
      <c r="C976" s="186"/>
      <c r="D976" s="186"/>
      <c r="E976" s="182"/>
      <c r="F976" s="182"/>
      <c r="G976" s="187"/>
      <c r="H976" s="187"/>
      <c r="I976" s="40"/>
      <c r="J976" s="186"/>
      <c r="K976" s="186"/>
      <c r="L976" s="186"/>
      <c r="M976" s="186"/>
      <c r="N976" s="186"/>
      <c r="O976" s="186"/>
      <c r="P976" s="186"/>
      <c r="Q976" s="182"/>
      <c r="R976" s="182"/>
      <c r="S976" s="182"/>
      <c r="T976" s="186"/>
      <c r="U976" s="186"/>
      <c r="AA976" s="35"/>
      <c r="AB976" s="35"/>
    </row>
    <row r="977" spans="1:28" x14ac:dyDescent="0.2">
      <c r="A977" s="177"/>
      <c r="B977" s="186"/>
      <c r="C977" s="186"/>
      <c r="D977" s="186"/>
      <c r="E977" s="182"/>
      <c r="F977" s="182"/>
      <c r="G977" s="187"/>
      <c r="H977" s="187"/>
      <c r="I977" s="40"/>
      <c r="J977" s="186"/>
      <c r="K977" s="186"/>
      <c r="L977" s="186"/>
      <c r="M977" s="186"/>
      <c r="N977" s="186"/>
      <c r="O977" s="186"/>
      <c r="P977" s="186"/>
      <c r="Q977" s="182"/>
      <c r="R977" s="182"/>
      <c r="S977" s="182"/>
      <c r="T977" s="186"/>
      <c r="U977" s="186"/>
      <c r="AA977" s="35"/>
      <c r="AB977" s="35"/>
    </row>
    <row r="978" spans="1:28" x14ac:dyDescent="0.2">
      <c r="A978" s="177"/>
      <c r="B978" s="186"/>
      <c r="C978" s="186"/>
      <c r="D978" s="186"/>
      <c r="E978" s="182"/>
      <c r="F978" s="182"/>
      <c r="G978" s="187"/>
      <c r="H978" s="187"/>
      <c r="I978" s="40"/>
      <c r="J978" s="186"/>
      <c r="K978" s="186"/>
      <c r="L978" s="186"/>
      <c r="M978" s="186"/>
      <c r="N978" s="186"/>
      <c r="O978" s="186"/>
      <c r="P978" s="186"/>
      <c r="Q978" s="182"/>
      <c r="R978" s="182"/>
      <c r="S978" s="182"/>
      <c r="T978" s="186"/>
      <c r="U978" s="186"/>
      <c r="AA978" s="35"/>
      <c r="AB978" s="35"/>
    </row>
    <row r="979" spans="1:28" x14ac:dyDescent="0.2">
      <c r="A979" s="177"/>
      <c r="B979" s="186"/>
      <c r="C979" s="186"/>
      <c r="D979" s="186"/>
      <c r="E979" s="182"/>
      <c r="F979" s="182"/>
      <c r="G979" s="187"/>
      <c r="H979" s="187"/>
      <c r="I979" s="40"/>
      <c r="J979" s="186"/>
      <c r="K979" s="186"/>
      <c r="L979" s="186"/>
      <c r="M979" s="186"/>
      <c r="N979" s="186"/>
      <c r="O979" s="186"/>
      <c r="P979" s="186"/>
      <c r="Q979" s="182"/>
      <c r="R979" s="182"/>
      <c r="S979" s="182"/>
      <c r="T979" s="186"/>
      <c r="U979" s="186"/>
      <c r="AA979" s="35"/>
      <c r="AB979" s="35"/>
    </row>
    <row r="980" spans="1:28" x14ac:dyDescent="0.2">
      <c r="A980" s="177"/>
      <c r="B980" s="186"/>
      <c r="C980" s="186"/>
      <c r="D980" s="186"/>
      <c r="E980" s="182"/>
      <c r="F980" s="182"/>
      <c r="G980" s="187"/>
      <c r="H980" s="187"/>
      <c r="I980" s="40"/>
      <c r="J980" s="186"/>
      <c r="K980" s="186"/>
      <c r="L980" s="186"/>
      <c r="M980" s="186"/>
      <c r="N980" s="186"/>
      <c r="O980" s="186"/>
      <c r="P980" s="186"/>
      <c r="Q980" s="182"/>
      <c r="R980" s="182"/>
      <c r="S980" s="182"/>
      <c r="T980" s="186"/>
      <c r="U980" s="186"/>
      <c r="AA980" s="35"/>
      <c r="AB980" s="35"/>
    </row>
    <row r="981" spans="1:28" x14ac:dyDescent="0.2">
      <c r="A981" s="177"/>
      <c r="B981" s="186"/>
      <c r="C981" s="186"/>
      <c r="D981" s="186"/>
      <c r="E981" s="182"/>
      <c r="F981" s="182"/>
      <c r="G981" s="187"/>
      <c r="H981" s="187"/>
      <c r="I981" s="40"/>
      <c r="J981" s="186"/>
      <c r="K981" s="186"/>
      <c r="L981" s="186"/>
      <c r="M981" s="186"/>
      <c r="N981" s="186"/>
      <c r="O981" s="186"/>
      <c r="P981" s="186"/>
      <c r="Q981" s="182"/>
      <c r="R981" s="182"/>
      <c r="S981" s="182"/>
      <c r="T981" s="186"/>
      <c r="U981" s="186"/>
      <c r="AA981" s="35"/>
      <c r="AB981" s="35"/>
    </row>
    <row r="982" spans="1:28" x14ac:dyDescent="0.2">
      <c r="A982" s="177"/>
      <c r="B982" s="186"/>
      <c r="C982" s="186"/>
      <c r="D982" s="186"/>
      <c r="E982" s="182"/>
      <c r="F982" s="182"/>
      <c r="G982" s="187"/>
      <c r="H982" s="187"/>
      <c r="I982" s="40"/>
      <c r="J982" s="186"/>
      <c r="K982" s="186"/>
      <c r="L982" s="186"/>
      <c r="M982" s="186"/>
      <c r="N982" s="186"/>
      <c r="O982" s="186"/>
      <c r="P982" s="186"/>
      <c r="Q982" s="182"/>
      <c r="R982" s="182"/>
      <c r="S982" s="182"/>
      <c r="T982" s="186"/>
      <c r="U982" s="186"/>
      <c r="AA982" s="35"/>
      <c r="AB982" s="35"/>
    </row>
    <row r="983" spans="1:28" x14ac:dyDescent="0.2">
      <c r="A983" s="177"/>
      <c r="B983" s="186"/>
      <c r="C983" s="186"/>
      <c r="D983" s="186"/>
      <c r="E983" s="182"/>
      <c r="F983" s="182"/>
      <c r="G983" s="187"/>
      <c r="H983" s="187"/>
      <c r="I983" s="40"/>
      <c r="J983" s="186"/>
      <c r="K983" s="186"/>
      <c r="L983" s="186"/>
      <c r="M983" s="186"/>
      <c r="N983" s="186"/>
      <c r="O983" s="186"/>
      <c r="P983" s="186"/>
      <c r="Q983" s="182"/>
      <c r="R983" s="182"/>
      <c r="S983" s="182"/>
      <c r="T983" s="186"/>
      <c r="U983" s="186"/>
      <c r="AA983" s="35"/>
      <c r="AB983" s="35"/>
    </row>
    <row r="984" spans="1:28" x14ac:dyDescent="0.2">
      <c r="A984" s="177"/>
      <c r="B984" s="186"/>
      <c r="C984" s="186"/>
      <c r="D984" s="186"/>
      <c r="E984" s="182"/>
      <c r="F984" s="182"/>
      <c r="G984" s="187"/>
      <c r="H984" s="187"/>
      <c r="I984" s="40"/>
      <c r="J984" s="186"/>
      <c r="K984" s="186"/>
      <c r="L984" s="186"/>
      <c r="M984" s="186"/>
      <c r="N984" s="186"/>
      <c r="O984" s="186"/>
      <c r="P984" s="186"/>
      <c r="Q984" s="182"/>
      <c r="R984" s="182"/>
      <c r="S984" s="182"/>
      <c r="T984" s="186"/>
      <c r="U984" s="186"/>
      <c r="AA984" s="35"/>
      <c r="AB984" s="35"/>
    </row>
    <row r="985" spans="1:28" x14ac:dyDescent="0.2">
      <c r="A985" s="177"/>
      <c r="B985" s="186"/>
      <c r="C985" s="186"/>
      <c r="D985" s="186"/>
      <c r="E985" s="182"/>
      <c r="F985" s="182"/>
      <c r="G985" s="187"/>
      <c r="H985" s="187"/>
      <c r="I985" s="40"/>
      <c r="J985" s="186"/>
      <c r="K985" s="186"/>
      <c r="L985" s="186"/>
      <c r="M985" s="186"/>
      <c r="N985" s="186"/>
      <c r="O985" s="186"/>
      <c r="P985" s="186"/>
      <c r="Q985" s="182"/>
      <c r="R985" s="182"/>
      <c r="S985" s="182"/>
      <c r="T985" s="186"/>
      <c r="U985" s="186"/>
      <c r="AA985" s="35"/>
      <c r="AB985" s="35"/>
    </row>
    <row r="986" spans="1:28" x14ac:dyDescent="0.2">
      <c r="A986" s="177"/>
      <c r="B986" s="186"/>
      <c r="C986" s="186"/>
      <c r="D986" s="186"/>
      <c r="E986" s="182"/>
      <c r="F986" s="182"/>
      <c r="G986" s="187"/>
      <c r="H986" s="187"/>
      <c r="I986" s="40"/>
      <c r="J986" s="186"/>
      <c r="K986" s="186"/>
      <c r="L986" s="186"/>
      <c r="M986" s="186"/>
      <c r="N986" s="186"/>
      <c r="O986" s="186"/>
      <c r="P986" s="186"/>
      <c r="Q986" s="182"/>
      <c r="R986" s="182"/>
      <c r="S986" s="182"/>
      <c r="T986" s="186"/>
      <c r="U986" s="186"/>
      <c r="AA986" s="35"/>
      <c r="AB986" s="35"/>
    </row>
    <row r="987" spans="1:28" x14ac:dyDescent="0.2">
      <c r="A987" s="177"/>
      <c r="B987" s="186"/>
      <c r="C987" s="186"/>
      <c r="D987" s="186"/>
      <c r="E987" s="182"/>
      <c r="F987" s="182"/>
      <c r="G987" s="187"/>
      <c r="H987" s="187"/>
      <c r="I987" s="40"/>
      <c r="J987" s="186"/>
      <c r="K987" s="186"/>
      <c r="L987" s="186"/>
      <c r="M987" s="186"/>
      <c r="N987" s="186"/>
      <c r="O987" s="186"/>
      <c r="P987" s="186"/>
      <c r="Q987" s="182"/>
      <c r="R987" s="182"/>
      <c r="S987" s="182"/>
      <c r="T987" s="186"/>
      <c r="U987" s="186"/>
      <c r="AA987" s="35"/>
      <c r="AB987" s="35"/>
    </row>
    <row r="988" spans="1:28" x14ac:dyDescent="0.2">
      <c r="A988" s="177"/>
      <c r="B988" s="186"/>
      <c r="C988" s="186"/>
      <c r="D988" s="186"/>
      <c r="E988" s="182"/>
      <c r="F988" s="182"/>
      <c r="G988" s="187"/>
      <c r="H988" s="187"/>
      <c r="I988" s="40"/>
      <c r="J988" s="186"/>
      <c r="K988" s="186"/>
      <c r="L988" s="186"/>
      <c r="M988" s="186"/>
      <c r="N988" s="186"/>
      <c r="O988" s="186"/>
      <c r="P988" s="186"/>
      <c r="Q988" s="182"/>
      <c r="R988" s="182"/>
      <c r="S988" s="182"/>
      <c r="T988" s="186"/>
      <c r="U988" s="186"/>
      <c r="AA988" s="35"/>
      <c r="AB988" s="35"/>
    </row>
    <row r="989" spans="1:28" x14ac:dyDescent="0.2">
      <c r="A989" s="177"/>
      <c r="B989" s="186"/>
      <c r="C989" s="186"/>
      <c r="D989" s="186"/>
      <c r="E989" s="182"/>
      <c r="F989" s="182"/>
      <c r="G989" s="187"/>
      <c r="H989" s="187"/>
      <c r="I989" s="40"/>
      <c r="J989" s="186"/>
      <c r="K989" s="186"/>
      <c r="L989" s="186"/>
      <c r="M989" s="186"/>
      <c r="N989" s="186"/>
      <c r="O989" s="186"/>
      <c r="P989" s="186"/>
      <c r="Q989" s="182"/>
      <c r="R989" s="182"/>
      <c r="S989" s="182"/>
      <c r="T989" s="186"/>
      <c r="U989" s="186"/>
      <c r="AA989" s="35"/>
      <c r="AB989" s="35"/>
    </row>
    <row r="990" spans="1:28" x14ac:dyDescent="0.2">
      <c r="A990" s="177"/>
      <c r="B990" s="186"/>
      <c r="C990" s="186"/>
      <c r="D990" s="186"/>
      <c r="E990" s="182"/>
      <c r="F990" s="182"/>
      <c r="G990" s="187"/>
      <c r="H990" s="187"/>
      <c r="I990" s="40"/>
      <c r="J990" s="186"/>
      <c r="K990" s="186"/>
      <c r="L990" s="186"/>
      <c r="M990" s="186"/>
      <c r="N990" s="186"/>
      <c r="O990" s="186"/>
      <c r="P990" s="186"/>
      <c r="Q990" s="182"/>
      <c r="R990" s="182"/>
      <c r="S990" s="182"/>
      <c r="T990" s="186"/>
      <c r="U990" s="186"/>
      <c r="AA990" s="35"/>
      <c r="AB990" s="35"/>
    </row>
    <row r="991" spans="1:28" x14ac:dyDescent="0.2">
      <c r="A991" s="177"/>
      <c r="B991" s="186"/>
      <c r="C991" s="186"/>
      <c r="D991" s="186"/>
      <c r="E991" s="182"/>
      <c r="F991" s="182"/>
      <c r="G991" s="187"/>
      <c r="H991" s="187"/>
      <c r="I991" s="40"/>
      <c r="J991" s="186"/>
      <c r="K991" s="186"/>
      <c r="L991" s="186"/>
      <c r="M991" s="186"/>
      <c r="N991" s="186"/>
      <c r="O991" s="186"/>
      <c r="P991" s="186"/>
      <c r="Q991" s="182"/>
      <c r="R991" s="182"/>
      <c r="S991" s="182"/>
      <c r="T991" s="186"/>
      <c r="U991" s="186"/>
      <c r="AA991" s="35"/>
      <c r="AB991" s="35"/>
    </row>
    <row r="992" spans="1:28" x14ac:dyDescent="0.2">
      <c r="A992" s="177"/>
      <c r="B992" s="186"/>
      <c r="C992" s="186"/>
      <c r="D992" s="186"/>
      <c r="E992" s="182"/>
      <c r="F992" s="182"/>
      <c r="G992" s="187"/>
      <c r="H992" s="187"/>
      <c r="I992" s="40"/>
      <c r="J992" s="186"/>
      <c r="K992" s="186"/>
      <c r="L992" s="186"/>
      <c r="M992" s="186"/>
      <c r="N992" s="186"/>
      <c r="O992" s="186"/>
      <c r="P992" s="186"/>
      <c r="Q992" s="182"/>
      <c r="R992" s="182"/>
      <c r="S992" s="182"/>
      <c r="T992" s="186"/>
      <c r="U992" s="186"/>
      <c r="AA992" s="35"/>
      <c r="AB992" s="35"/>
    </row>
    <row r="993" spans="1:28" x14ac:dyDescent="0.2">
      <c r="A993" s="177"/>
      <c r="B993" s="186"/>
      <c r="C993" s="186"/>
      <c r="D993" s="186"/>
      <c r="E993" s="182"/>
      <c r="F993" s="182"/>
      <c r="G993" s="187"/>
      <c r="H993" s="187"/>
      <c r="I993" s="40"/>
      <c r="J993" s="186"/>
      <c r="K993" s="186"/>
      <c r="L993" s="186"/>
      <c r="M993" s="186"/>
      <c r="N993" s="186"/>
      <c r="O993" s="186"/>
      <c r="P993" s="186"/>
      <c r="Q993" s="182"/>
      <c r="R993" s="182"/>
      <c r="S993" s="182"/>
      <c r="T993" s="186"/>
      <c r="U993" s="186"/>
      <c r="AA993" s="35"/>
      <c r="AB993" s="35"/>
    </row>
    <row r="994" spans="1:28" x14ac:dyDescent="0.2">
      <c r="A994" s="177"/>
      <c r="B994" s="186"/>
      <c r="C994" s="186"/>
      <c r="D994" s="186"/>
      <c r="E994" s="182"/>
      <c r="F994" s="182"/>
      <c r="G994" s="187"/>
      <c r="H994" s="187"/>
      <c r="I994" s="40"/>
      <c r="J994" s="186"/>
      <c r="K994" s="186"/>
      <c r="L994" s="186"/>
      <c r="M994" s="186"/>
      <c r="N994" s="186"/>
      <c r="O994" s="186"/>
      <c r="P994" s="186"/>
      <c r="Q994" s="182"/>
      <c r="R994" s="182"/>
      <c r="S994" s="182"/>
      <c r="T994" s="186"/>
      <c r="U994" s="186"/>
      <c r="AA994" s="35"/>
      <c r="AB994" s="35"/>
    </row>
    <row r="995" spans="1:28" x14ac:dyDescent="0.2">
      <c r="A995" s="177"/>
      <c r="B995" s="186"/>
      <c r="C995" s="186"/>
      <c r="D995" s="186"/>
      <c r="E995" s="182"/>
      <c r="F995" s="182"/>
      <c r="G995" s="187"/>
      <c r="H995" s="187"/>
      <c r="I995" s="40"/>
      <c r="J995" s="186"/>
      <c r="K995" s="186"/>
      <c r="L995" s="186"/>
      <c r="M995" s="186"/>
      <c r="N995" s="186"/>
      <c r="O995" s="186"/>
      <c r="P995" s="186"/>
      <c r="Q995" s="182"/>
      <c r="R995" s="182"/>
      <c r="S995" s="182"/>
      <c r="T995" s="186"/>
      <c r="U995" s="186"/>
      <c r="AA995" s="35"/>
      <c r="AB995" s="35"/>
    </row>
    <row r="996" spans="1:28" x14ac:dyDescent="0.2">
      <c r="A996" s="177"/>
      <c r="B996" s="186"/>
      <c r="C996" s="186"/>
      <c r="D996" s="186"/>
      <c r="E996" s="182"/>
      <c r="F996" s="182"/>
      <c r="G996" s="187"/>
      <c r="H996" s="187"/>
      <c r="I996" s="40"/>
      <c r="J996" s="186"/>
      <c r="K996" s="186"/>
      <c r="L996" s="186"/>
      <c r="M996" s="186"/>
      <c r="N996" s="186"/>
      <c r="O996" s="186"/>
      <c r="P996" s="186"/>
      <c r="Q996" s="182"/>
      <c r="R996" s="182"/>
      <c r="S996" s="182"/>
      <c r="T996" s="186"/>
      <c r="U996" s="186"/>
      <c r="AA996" s="35"/>
      <c r="AB996" s="35"/>
    </row>
    <row r="997" spans="1:28" x14ac:dyDescent="0.2">
      <c r="A997" s="177"/>
      <c r="B997" s="186"/>
      <c r="C997" s="186"/>
      <c r="D997" s="186"/>
      <c r="E997" s="182"/>
      <c r="F997" s="182"/>
      <c r="G997" s="187"/>
      <c r="H997" s="187"/>
      <c r="I997" s="40"/>
      <c r="J997" s="186"/>
      <c r="K997" s="186"/>
      <c r="L997" s="186"/>
      <c r="M997" s="186"/>
      <c r="N997" s="186"/>
      <c r="O997" s="186"/>
      <c r="P997" s="186"/>
      <c r="Q997" s="182"/>
      <c r="R997" s="182"/>
      <c r="S997" s="182"/>
      <c r="T997" s="186"/>
      <c r="U997" s="186"/>
      <c r="AA997" s="35"/>
      <c r="AB997" s="35"/>
    </row>
    <row r="998" spans="1:28" x14ac:dyDescent="0.2">
      <c r="A998" s="177"/>
      <c r="B998" s="186"/>
      <c r="C998" s="186"/>
      <c r="D998" s="186"/>
      <c r="E998" s="182"/>
      <c r="F998" s="182"/>
      <c r="G998" s="187"/>
      <c r="H998" s="187"/>
      <c r="I998" s="40"/>
      <c r="J998" s="186"/>
      <c r="K998" s="186"/>
      <c r="L998" s="186"/>
      <c r="M998" s="186"/>
      <c r="N998" s="186"/>
      <c r="O998" s="186"/>
      <c r="P998" s="186"/>
      <c r="Q998" s="182"/>
      <c r="R998" s="182"/>
      <c r="S998" s="182"/>
      <c r="T998" s="186"/>
      <c r="U998" s="186"/>
      <c r="AA998" s="35"/>
      <c r="AB998" s="35"/>
    </row>
    <row r="999" spans="1:28" x14ac:dyDescent="0.2">
      <c r="A999" s="177"/>
      <c r="B999" s="186"/>
      <c r="C999" s="186"/>
      <c r="D999" s="186"/>
      <c r="E999" s="182"/>
      <c r="F999" s="182"/>
      <c r="G999" s="187"/>
      <c r="H999" s="187"/>
      <c r="I999" s="40"/>
      <c r="J999" s="186"/>
      <c r="K999" s="186"/>
      <c r="L999" s="186"/>
      <c r="M999" s="186"/>
      <c r="N999" s="186"/>
      <c r="O999" s="186"/>
      <c r="P999" s="186"/>
      <c r="Q999" s="182"/>
      <c r="R999" s="182"/>
      <c r="S999" s="182"/>
      <c r="T999" s="186"/>
      <c r="U999" s="186"/>
      <c r="AA999" s="35"/>
      <c r="AB999" s="35"/>
    </row>
    <row r="1000" spans="1:28" x14ac:dyDescent="0.2">
      <c r="A1000" s="177"/>
      <c r="B1000" s="186"/>
      <c r="C1000" s="186"/>
      <c r="D1000" s="186"/>
      <c r="E1000" s="182"/>
      <c r="F1000" s="182"/>
      <c r="G1000" s="187"/>
      <c r="H1000" s="187"/>
      <c r="I1000" s="40"/>
      <c r="J1000" s="186"/>
      <c r="K1000" s="186"/>
      <c r="L1000" s="186"/>
      <c r="M1000" s="186"/>
      <c r="N1000" s="186"/>
      <c r="O1000" s="186"/>
      <c r="P1000" s="186"/>
      <c r="Q1000" s="182"/>
      <c r="R1000" s="182"/>
      <c r="S1000" s="182"/>
      <c r="T1000" s="186"/>
      <c r="U1000" s="186"/>
      <c r="AA1000" s="35"/>
      <c r="AB1000" s="35"/>
    </row>
    <row r="1001" spans="1:28" x14ac:dyDescent="0.2">
      <c r="A1001" s="177"/>
      <c r="B1001" s="186"/>
      <c r="C1001" s="186"/>
      <c r="D1001" s="186"/>
      <c r="E1001" s="182"/>
      <c r="F1001" s="182"/>
      <c r="G1001" s="187"/>
      <c r="H1001" s="187"/>
      <c r="I1001" s="40"/>
      <c r="J1001" s="186"/>
      <c r="K1001" s="186"/>
      <c r="L1001" s="186"/>
      <c r="M1001" s="186"/>
      <c r="N1001" s="186"/>
      <c r="O1001" s="186"/>
      <c r="P1001" s="186"/>
      <c r="Q1001" s="182"/>
      <c r="R1001" s="182"/>
      <c r="S1001" s="182"/>
      <c r="T1001" s="186"/>
      <c r="U1001" s="186"/>
      <c r="AA1001" s="35"/>
      <c r="AB1001" s="35"/>
    </row>
    <row r="1002" spans="1:28" x14ac:dyDescent="0.2">
      <c r="A1002" s="177"/>
      <c r="B1002" s="186"/>
      <c r="C1002" s="186"/>
      <c r="D1002" s="186"/>
      <c r="E1002" s="182"/>
      <c r="F1002" s="182"/>
      <c r="G1002" s="187"/>
      <c r="H1002" s="187"/>
      <c r="I1002" s="40"/>
      <c r="J1002" s="186"/>
      <c r="K1002" s="186"/>
      <c r="L1002" s="186"/>
      <c r="M1002" s="186"/>
      <c r="N1002" s="186"/>
      <c r="O1002" s="186"/>
      <c r="P1002" s="186"/>
      <c r="Q1002" s="182"/>
      <c r="R1002" s="182"/>
      <c r="S1002" s="182"/>
      <c r="T1002" s="186"/>
      <c r="U1002" s="186"/>
      <c r="AA1002" s="35"/>
      <c r="AB1002" s="35"/>
    </row>
    <row r="1003" spans="1:28" x14ac:dyDescent="0.2">
      <c r="A1003" s="177"/>
      <c r="B1003" s="186"/>
      <c r="C1003" s="186"/>
      <c r="D1003" s="186"/>
      <c r="E1003" s="182"/>
      <c r="F1003" s="182"/>
      <c r="G1003" s="187"/>
      <c r="H1003" s="187"/>
      <c r="I1003" s="40"/>
      <c r="J1003" s="186"/>
      <c r="K1003" s="186"/>
      <c r="L1003" s="186"/>
      <c r="M1003" s="186"/>
      <c r="N1003" s="186"/>
      <c r="O1003" s="186"/>
      <c r="P1003" s="186"/>
      <c r="Q1003" s="182"/>
      <c r="R1003" s="182"/>
      <c r="S1003" s="182"/>
      <c r="T1003" s="186"/>
      <c r="U1003" s="186"/>
      <c r="AA1003" s="35"/>
      <c r="AB1003" s="35"/>
    </row>
    <row r="1004" spans="1:28" x14ac:dyDescent="0.2">
      <c r="A1004" s="177"/>
      <c r="B1004" s="186"/>
      <c r="C1004" s="186"/>
      <c r="D1004" s="186"/>
      <c r="E1004" s="182"/>
      <c r="F1004" s="182"/>
      <c r="G1004" s="187"/>
      <c r="H1004" s="187"/>
      <c r="I1004" s="40"/>
      <c r="J1004" s="186"/>
      <c r="K1004" s="186"/>
      <c r="L1004" s="186"/>
      <c r="M1004" s="186"/>
      <c r="N1004" s="186"/>
      <c r="O1004" s="186"/>
      <c r="P1004" s="186"/>
      <c r="Q1004" s="182"/>
      <c r="R1004" s="182"/>
      <c r="S1004" s="182"/>
      <c r="T1004" s="186"/>
      <c r="U1004" s="186"/>
      <c r="AA1004" s="35"/>
      <c r="AB1004" s="35"/>
    </row>
    <row r="1005" spans="1:28" x14ac:dyDescent="0.2">
      <c r="A1005" s="177"/>
      <c r="B1005" s="186"/>
      <c r="C1005" s="186"/>
      <c r="D1005" s="186"/>
      <c r="E1005" s="182"/>
      <c r="F1005" s="182"/>
      <c r="G1005" s="187"/>
      <c r="H1005" s="187"/>
      <c r="I1005" s="40"/>
      <c r="J1005" s="186"/>
      <c r="K1005" s="186"/>
      <c r="L1005" s="186"/>
      <c r="M1005" s="186"/>
      <c r="N1005" s="186"/>
      <c r="O1005" s="186"/>
      <c r="P1005" s="186"/>
      <c r="Q1005" s="182"/>
      <c r="R1005" s="182"/>
      <c r="S1005" s="182"/>
      <c r="T1005" s="186"/>
      <c r="U1005" s="186"/>
      <c r="AA1005" s="35"/>
      <c r="AB1005" s="35"/>
    </row>
    <row r="1006" spans="1:28" x14ac:dyDescent="0.2">
      <c r="A1006" s="177"/>
      <c r="B1006" s="186"/>
      <c r="C1006" s="186"/>
      <c r="D1006" s="186"/>
      <c r="E1006" s="182"/>
      <c r="F1006" s="182"/>
      <c r="G1006" s="187"/>
      <c r="H1006" s="187"/>
      <c r="I1006" s="40"/>
      <c r="J1006" s="186"/>
      <c r="K1006" s="186"/>
      <c r="L1006" s="186"/>
      <c r="M1006" s="186"/>
      <c r="N1006" s="186"/>
      <c r="O1006" s="186"/>
      <c r="P1006" s="186"/>
      <c r="Q1006" s="182"/>
      <c r="R1006" s="182"/>
      <c r="S1006" s="182"/>
      <c r="T1006" s="186"/>
      <c r="U1006" s="186"/>
      <c r="AA1006" s="35"/>
      <c r="AB1006" s="35"/>
    </row>
    <row r="1007" spans="1:28" x14ac:dyDescent="0.2">
      <c r="A1007" s="177"/>
      <c r="B1007" s="186"/>
      <c r="C1007" s="186"/>
      <c r="D1007" s="186"/>
      <c r="E1007" s="182"/>
      <c r="F1007" s="182"/>
      <c r="G1007" s="187"/>
      <c r="H1007" s="187"/>
      <c r="I1007" s="40"/>
      <c r="J1007" s="186"/>
      <c r="K1007" s="186"/>
      <c r="L1007" s="186"/>
      <c r="M1007" s="186"/>
      <c r="N1007" s="186"/>
      <c r="O1007" s="186"/>
      <c r="P1007" s="186"/>
      <c r="Q1007" s="182"/>
      <c r="R1007" s="182"/>
      <c r="S1007" s="182"/>
      <c r="T1007" s="186"/>
      <c r="U1007" s="186"/>
      <c r="AA1007" s="35"/>
      <c r="AB1007" s="35"/>
    </row>
    <row r="1008" spans="1:28" x14ac:dyDescent="0.2">
      <c r="A1008" s="177"/>
      <c r="B1008" s="186"/>
      <c r="C1008" s="186"/>
      <c r="D1008" s="186"/>
      <c r="E1008" s="182"/>
      <c r="F1008" s="182"/>
      <c r="G1008" s="187"/>
      <c r="H1008" s="187"/>
      <c r="I1008" s="40"/>
      <c r="J1008" s="186"/>
      <c r="K1008" s="186"/>
      <c r="L1008" s="186"/>
      <c r="M1008" s="186"/>
      <c r="N1008" s="186"/>
      <c r="O1008" s="186"/>
      <c r="P1008" s="186"/>
      <c r="Q1008" s="182"/>
      <c r="R1008" s="182"/>
      <c r="S1008" s="182"/>
      <c r="T1008" s="186"/>
      <c r="U1008" s="186"/>
      <c r="AA1008" s="35"/>
      <c r="AB1008" s="35"/>
    </row>
    <row r="1009" spans="1:28" x14ac:dyDescent="0.2">
      <c r="A1009" s="177"/>
      <c r="B1009" s="186"/>
      <c r="C1009" s="186"/>
      <c r="D1009" s="186"/>
      <c r="E1009" s="182"/>
      <c r="F1009" s="182"/>
      <c r="G1009" s="187"/>
      <c r="H1009" s="187"/>
      <c r="I1009" s="40"/>
      <c r="J1009" s="186"/>
      <c r="K1009" s="186"/>
      <c r="L1009" s="186"/>
      <c r="M1009" s="186"/>
      <c r="N1009" s="186"/>
      <c r="O1009" s="186"/>
      <c r="P1009" s="186"/>
      <c r="Q1009" s="182"/>
      <c r="R1009" s="182"/>
      <c r="S1009" s="182"/>
      <c r="T1009" s="186"/>
      <c r="U1009" s="186"/>
      <c r="AA1009" s="35"/>
      <c r="AB1009" s="35"/>
    </row>
    <row r="1010" spans="1:28" x14ac:dyDescent="0.2">
      <c r="A1010" s="177"/>
      <c r="B1010" s="186"/>
      <c r="C1010" s="186"/>
      <c r="D1010" s="186"/>
      <c r="E1010" s="182"/>
      <c r="F1010" s="182"/>
      <c r="G1010" s="187"/>
      <c r="H1010" s="187"/>
      <c r="I1010" s="40"/>
      <c r="J1010" s="186"/>
      <c r="K1010" s="186"/>
      <c r="L1010" s="186"/>
      <c r="M1010" s="186"/>
      <c r="N1010" s="186"/>
      <c r="O1010" s="186"/>
      <c r="P1010" s="186"/>
      <c r="Q1010" s="182"/>
      <c r="R1010" s="182"/>
      <c r="S1010" s="182"/>
      <c r="T1010" s="186"/>
      <c r="U1010" s="186"/>
      <c r="AA1010" s="35"/>
      <c r="AB1010" s="35"/>
    </row>
    <row r="1011" spans="1:28" x14ac:dyDescent="0.2">
      <c r="A1011" s="177"/>
      <c r="B1011" s="186"/>
      <c r="C1011" s="186"/>
      <c r="D1011" s="186"/>
      <c r="E1011" s="182"/>
      <c r="F1011" s="182"/>
      <c r="G1011" s="187"/>
      <c r="H1011" s="187"/>
      <c r="I1011" s="40"/>
      <c r="J1011" s="186"/>
      <c r="K1011" s="186"/>
      <c r="L1011" s="186"/>
      <c r="M1011" s="186"/>
      <c r="N1011" s="186"/>
      <c r="O1011" s="186"/>
      <c r="P1011" s="186"/>
      <c r="Q1011" s="182"/>
      <c r="R1011" s="182"/>
      <c r="S1011" s="182"/>
      <c r="T1011" s="186"/>
      <c r="U1011" s="186"/>
      <c r="AA1011" s="35"/>
      <c r="AB1011" s="35"/>
    </row>
    <row r="1012" spans="1:28" x14ac:dyDescent="0.2">
      <c r="A1012" s="177"/>
      <c r="B1012" s="186"/>
      <c r="C1012" s="186"/>
      <c r="D1012" s="186"/>
      <c r="E1012" s="182"/>
      <c r="F1012" s="182"/>
      <c r="G1012" s="187"/>
      <c r="H1012" s="187"/>
      <c r="I1012" s="40"/>
      <c r="J1012" s="186"/>
      <c r="K1012" s="186"/>
      <c r="L1012" s="186"/>
      <c r="M1012" s="186"/>
      <c r="N1012" s="186"/>
      <c r="O1012" s="186"/>
      <c r="P1012" s="186"/>
      <c r="Q1012" s="182"/>
      <c r="R1012" s="182"/>
      <c r="S1012" s="182"/>
      <c r="T1012" s="186"/>
      <c r="U1012" s="186"/>
      <c r="AA1012" s="35"/>
      <c r="AB1012" s="35"/>
    </row>
    <row r="1013" spans="1:28" x14ac:dyDescent="0.2">
      <c r="A1013" s="177"/>
      <c r="B1013" s="186"/>
      <c r="C1013" s="186"/>
      <c r="D1013" s="186"/>
      <c r="E1013" s="182"/>
      <c r="F1013" s="182"/>
      <c r="G1013" s="187"/>
      <c r="H1013" s="187"/>
      <c r="I1013" s="40"/>
      <c r="J1013" s="186"/>
      <c r="K1013" s="186"/>
      <c r="L1013" s="186"/>
      <c r="M1013" s="186"/>
      <c r="N1013" s="186"/>
      <c r="O1013" s="186"/>
      <c r="P1013" s="186"/>
      <c r="Q1013" s="182"/>
      <c r="R1013" s="182"/>
      <c r="S1013" s="182"/>
      <c r="T1013" s="186"/>
      <c r="U1013" s="186"/>
      <c r="AA1013" s="35"/>
      <c r="AB1013" s="35"/>
    </row>
    <row r="1014" spans="1:28" x14ac:dyDescent="0.2">
      <c r="A1014" s="177"/>
      <c r="B1014" s="186"/>
      <c r="C1014" s="186"/>
      <c r="D1014" s="186"/>
      <c r="E1014" s="182"/>
      <c r="F1014" s="182"/>
      <c r="G1014" s="187"/>
      <c r="H1014" s="187"/>
      <c r="I1014" s="40"/>
      <c r="J1014" s="186"/>
      <c r="K1014" s="186"/>
      <c r="L1014" s="186"/>
      <c r="M1014" s="186"/>
      <c r="N1014" s="186"/>
      <c r="O1014" s="186"/>
      <c r="P1014" s="186"/>
      <c r="Q1014" s="182"/>
      <c r="R1014" s="182"/>
      <c r="S1014" s="182"/>
      <c r="T1014" s="186"/>
      <c r="U1014" s="186"/>
      <c r="AA1014" s="35"/>
      <c r="AB1014" s="35"/>
    </row>
    <row r="1015" spans="1:28" x14ac:dyDescent="0.2">
      <c r="A1015" s="177"/>
      <c r="B1015" s="186"/>
      <c r="C1015" s="186"/>
      <c r="D1015" s="186"/>
      <c r="E1015" s="182"/>
      <c r="F1015" s="182"/>
      <c r="G1015" s="187"/>
      <c r="H1015" s="187"/>
      <c r="I1015" s="40"/>
      <c r="J1015" s="186"/>
      <c r="K1015" s="186"/>
      <c r="L1015" s="186"/>
      <c r="M1015" s="186"/>
      <c r="N1015" s="186"/>
      <c r="O1015" s="186"/>
      <c r="P1015" s="186"/>
      <c r="Q1015" s="182"/>
      <c r="R1015" s="182"/>
      <c r="S1015" s="182"/>
      <c r="T1015" s="186"/>
      <c r="U1015" s="186"/>
      <c r="AA1015" s="35"/>
      <c r="AB1015" s="35"/>
    </row>
    <row r="1016" spans="1:28" x14ac:dyDescent="0.2">
      <c r="A1016" s="177"/>
      <c r="B1016" s="186"/>
      <c r="C1016" s="186"/>
      <c r="D1016" s="186"/>
      <c r="E1016" s="182"/>
      <c r="F1016" s="182"/>
      <c r="G1016" s="187"/>
      <c r="H1016" s="187"/>
      <c r="I1016" s="40"/>
      <c r="J1016" s="186"/>
      <c r="K1016" s="186"/>
      <c r="L1016" s="186"/>
      <c r="M1016" s="186"/>
      <c r="N1016" s="186"/>
      <c r="O1016" s="186"/>
      <c r="P1016" s="186"/>
      <c r="Q1016" s="182"/>
      <c r="R1016" s="182"/>
      <c r="S1016" s="182"/>
      <c r="T1016" s="186"/>
      <c r="U1016" s="186"/>
      <c r="AA1016" s="35"/>
      <c r="AB1016" s="35"/>
    </row>
    <row r="1017" spans="1:28" x14ac:dyDescent="0.2">
      <c r="A1017" s="177"/>
      <c r="B1017" s="186"/>
      <c r="C1017" s="186"/>
      <c r="D1017" s="186"/>
      <c r="E1017" s="182"/>
      <c r="F1017" s="182"/>
      <c r="G1017" s="187"/>
      <c r="H1017" s="187"/>
      <c r="I1017" s="40"/>
      <c r="J1017" s="186"/>
      <c r="K1017" s="186"/>
      <c r="L1017" s="186"/>
      <c r="M1017" s="186"/>
      <c r="N1017" s="186"/>
      <c r="O1017" s="186"/>
      <c r="P1017" s="186"/>
      <c r="Q1017" s="182"/>
      <c r="R1017" s="182"/>
      <c r="S1017" s="182"/>
      <c r="T1017" s="186"/>
      <c r="U1017" s="186"/>
      <c r="AA1017" s="35"/>
      <c r="AB1017" s="35"/>
    </row>
    <row r="1018" spans="1:28" x14ac:dyDescent="0.2">
      <c r="A1018" s="177"/>
      <c r="B1018" s="186"/>
      <c r="C1018" s="186"/>
      <c r="D1018" s="186"/>
      <c r="E1018" s="182"/>
      <c r="F1018" s="182"/>
      <c r="G1018" s="187"/>
      <c r="H1018" s="187"/>
      <c r="I1018" s="40"/>
      <c r="J1018" s="186"/>
      <c r="K1018" s="186"/>
      <c r="L1018" s="186"/>
      <c r="M1018" s="186"/>
      <c r="N1018" s="186"/>
      <c r="O1018" s="186"/>
      <c r="P1018" s="186"/>
      <c r="Q1018" s="182"/>
      <c r="R1018" s="182"/>
      <c r="S1018" s="182"/>
      <c r="T1018" s="186"/>
      <c r="U1018" s="186"/>
      <c r="AA1018" s="35"/>
      <c r="AB1018" s="35"/>
    </row>
    <row r="1019" spans="1:28" x14ac:dyDescent="0.2">
      <c r="A1019" s="177"/>
      <c r="B1019" s="186"/>
      <c r="C1019" s="186"/>
      <c r="D1019" s="186"/>
      <c r="E1019" s="182"/>
      <c r="F1019" s="182"/>
      <c r="G1019" s="187"/>
      <c r="H1019" s="187"/>
      <c r="I1019" s="40"/>
      <c r="J1019" s="186"/>
      <c r="K1019" s="186"/>
      <c r="L1019" s="186"/>
      <c r="M1019" s="186"/>
      <c r="N1019" s="186"/>
      <c r="O1019" s="186"/>
      <c r="P1019" s="186"/>
      <c r="Q1019" s="182"/>
      <c r="R1019" s="182"/>
      <c r="S1019" s="182"/>
      <c r="T1019" s="186"/>
      <c r="U1019" s="186"/>
      <c r="AA1019" s="35"/>
      <c r="AB1019" s="35"/>
    </row>
    <row r="1020" spans="1:28" x14ac:dyDescent="0.2">
      <c r="A1020" s="177"/>
      <c r="B1020" s="186"/>
      <c r="C1020" s="186"/>
      <c r="D1020" s="186"/>
      <c r="E1020" s="182"/>
      <c r="F1020" s="182"/>
      <c r="G1020" s="187"/>
      <c r="H1020" s="187"/>
      <c r="I1020" s="40"/>
      <c r="J1020" s="186"/>
      <c r="K1020" s="186"/>
      <c r="L1020" s="186"/>
      <c r="M1020" s="186"/>
      <c r="N1020" s="186"/>
      <c r="O1020" s="186"/>
      <c r="P1020" s="186"/>
      <c r="Q1020" s="182"/>
      <c r="R1020" s="182"/>
      <c r="S1020" s="182"/>
      <c r="T1020" s="186"/>
      <c r="U1020" s="186"/>
      <c r="AA1020" s="35"/>
      <c r="AB1020" s="35"/>
    </row>
    <row r="1021" spans="1:28" x14ac:dyDescent="0.2">
      <c r="A1021" s="177"/>
      <c r="B1021" s="186"/>
      <c r="C1021" s="186"/>
      <c r="D1021" s="186"/>
      <c r="E1021" s="182"/>
      <c r="F1021" s="182"/>
      <c r="G1021" s="187"/>
      <c r="H1021" s="187"/>
      <c r="I1021" s="40"/>
      <c r="J1021" s="186"/>
      <c r="K1021" s="186"/>
      <c r="L1021" s="186"/>
      <c r="M1021" s="186"/>
      <c r="N1021" s="186"/>
      <c r="O1021" s="186"/>
      <c r="P1021" s="186"/>
      <c r="Q1021" s="182"/>
      <c r="R1021" s="182"/>
      <c r="S1021" s="182"/>
      <c r="T1021" s="186"/>
      <c r="U1021" s="186"/>
      <c r="AA1021" s="35"/>
      <c r="AB1021" s="35"/>
    </row>
    <row r="1022" spans="1:28" x14ac:dyDescent="0.2">
      <c r="A1022" s="177"/>
      <c r="B1022" s="186"/>
      <c r="C1022" s="186"/>
      <c r="D1022" s="186"/>
      <c r="E1022" s="182"/>
      <c r="F1022" s="182"/>
      <c r="G1022" s="187"/>
      <c r="H1022" s="187"/>
      <c r="I1022" s="40"/>
      <c r="J1022" s="186"/>
      <c r="K1022" s="186"/>
      <c r="L1022" s="186"/>
      <c r="M1022" s="186"/>
      <c r="N1022" s="186"/>
      <c r="O1022" s="186"/>
      <c r="P1022" s="186"/>
      <c r="Q1022" s="182"/>
      <c r="R1022" s="182"/>
      <c r="S1022" s="182"/>
      <c r="T1022" s="186"/>
      <c r="U1022" s="186"/>
      <c r="AA1022" s="35"/>
      <c r="AB1022" s="35"/>
    </row>
    <row r="1023" spans="1:28" x14ac:dyDescent="0.2">
      <c r="A1023" s="177"/>
      <c r="B1023" s="186"/>
      <c r="C1023" s="186"/>
      <c r="D1023" s="186"/>
      <c r="E1023" s="182"/>
      <c r="F1023" s="182"/>
      <c r="G1023" s="187"/>
      <c r="H1023" s="187"/>
      <c r="I1023" s="40"/>
      <c r="J1023" s="186"/>
      <c r="K1023" s="186"/>
      <c r="L1023" s="186"/>
      <c r="M1023" s="186"/>
      <c r="N1023" s="186"/>
      <c r="O1023" s="186"/>
      <c r="P1023" s="186"/>
      <c r="Q1023" s="182"/>
      <c r="R1023" s="182"/>
      <c r="S1023" s="182"/>
      <c r="T1023" s="186"/>
      <c r="U1023" s="186"/>
      <c r="AA1023" s="35"/>
      <c r="AB1023" s="35"/>
    </row>
    <row r="1024" spans="1:28" x14ac:dyDescent="0.2">
      <c r="A1024" s="177"/>
      <c r="B1024" s="186"/>
      <c r="C1024" s="186"/>
      <c r="D1024" s="186"/>
      <c r="E1024" s="182"/>
      <c r="F1024" s="182"/>
      <c r="G1024" s="187"/>
      <c r="H1024" s="187"/>
      <c r="I1024" s="40"/>
      <c r="J1024" s="186"/>
      <c r="K1024" s="186"/>
      <c r="L1024" s="186"/>
      <c r="M1024" s="186"/>
      <c r="N1024" s="186"/>
      <c r="O1024" s="186"/>
      <c r="P1024" s="186"/>
      <c r="Q1024" s="182"/>
      <c r="R1024" s="182"/>
      <c r="S1024" s="182"/>
      <c r="T1024" s="186"/>
      <c r="U1024" s="186"/>
      <c r="AA1024" s="35"/>
      <c r="AB1024" s="35"/>
    </row>
    <row r="1025" spans="1:28" x14ac:dyDescent="0.2">
      <c r="A1025" s="177"/>
      <c r="B1025" s="186"/>
      <c r="C1025" s="186"/>
      <c r="D1025" s="186"/>
      <c r="E1025" s="182"/>
      <c r="F1025" s="182"/>
      <c r="G1025" s="187"/>
      <c r="H1025" s="187"/>
      <c r="I1025" s="40"/>
      <c r="J1025" s="186"/>
      <c r="K1025" s="186"/>
      <c r="L1025" s="186"/>
      <c r="M1025" s="186"/>
      <c r="N1025" s="186"/>
      <c r="O1025" s="186"/>
      <c r="P1025" s="186"/>
      <c r="Q1025" s="182"/>
      <c r="R1025" s="182"/>
      <c r="S1025" s="182"/>
      <c r="T1025" s="186"/>
      <c r="U1025" s="186"/>
      <c r="AA1025" s="35"/>
      <c r="AB1025" s="35"/>
    </row>
    <row r="1026" spans="1:28" x14ac:dyDescent="0.2">
      <c r="A1026" s="177"/>
      <c r="B1026" s="186"/>
      <c r="C1026" s="186"/>
      <c r="D1026" s="186"/>
      <c r="E1026" s="182"/>
      <c r="F1026" s="182"/>
      <c r="G1026" s="187"/>
      <c r="H1026" s="187"/>
      <c r="I1026" s="40"/>
      <c r="J1026" s="186"/>
      <c r="K1026" s="186"/>
      <c r="L1026" s="186"/>
      <c r="M1026" s="186"/>
      <c r="N1026" s="186"/>
      <c r="O1026" s="186"/>
      <c r="P1026" s="186"/>
      <c r="Q1026" s="182"/>
      <c r="R1026" s="182"/>
      <c r="S1026" s="182"/>
      <c r="T1026" s="186"/>
      <c r="U1026" s="186"/>
      <c r="AA1026" s="35"/>
      <c r="AB1026" s="35"/>
    </row>
    <row r="1027" spans="1:28" x14ac:dyDescent="0.2">
      <c r="A1027" s="177"/>
      <c r="B1027" s="186"/>
      <c r="C1027" s="186"/>
      <c r="D1027" s="186"/>
      <c r="E1027" s="182"/>
      <c r="F1027" s="182"/>
      <c r="G1027" s="187"/>
      <c r="H1027" s="187"/>
      <c r="I1027" s="40"/>
      <c r="J1027" s="186"/>
      <c r="K1027" s="186"/>
      <c r="L1027" s="186"/>
      <c r="M1027" s="186"/>
      <c r="N1027" s="186"/>
      <c r="O1027" s="186"/>
      <c r="P1027" s="186"/>
      <c r="Q1027" s="182"/>
      <c r="R1027" s="182"/>
      <c r="S1027" s="182"/>
      <c r="T1027" s="186"/>
      <c r="U1027" s="186"/>
      <c r="AA1027" s="35"/>
      <c r="AB1027" s="35"/>
    </row>
    <row r="1028" spans="1:28" x14ac:dyDescent="0.2">
      <c r="A1028" s="177"/>
      <c r="B1028" s="186"/>
      <c r="C1028" s="186"/>
      <c r="D1028" s="186"/>
      <c r="E1028" s="182"/>
      <c r="F1028" s="182"/>
      <c r="G1028" s="187"/>
      <c r="H1028" s="187"/>
      <c r="I1028" s="40"/>
      <c r="J1028" s="186"/>
      <c r="K1028" s="186"/>
      <c r="L1028" s="186"/>
      <c r="M1028" s="186"/>
      <c r="N1028" s="186"/>
      <c r="O1028" s="186"/>
      <c r="P1028" s="186"/>
      <c r="Q1028" s="182"/>
      <c r="R1028" s="182"/>
      <c r="S1028" s="182"/>
      <c r="T1028" s="186"/>
      <c r="U1028" s="186"/>
      <c r="AA1028" s="35"/>
      <c r="AB1028" s="35"/>
    </row>
    <row r="1029" spans="1:28" x14ac:dyDescent="0.2">
      <c r="A1029" s="177"/>
      <c r="B1029" s="186"/>
      <c r="C1029" s="186"/>
      <c r="D1029" s="186"/>
      <c r="E1029" s="182"/>
      <c r="F1029" s="182"/>
      <c r="G1029" s="187"/>
      <c r="H1029" s="187"/>
      <c r="I1029" s="40"/>
      <c r="J1029" s="186"/>
      <c r="K1029" s="186"/>
      <c r="L1029" s="186"/>
      <c r="M1029" s="186"/>
      <c r="N1029" s="186"/>
      <c r="O1029" s="186"/>
      <c r="P1029" s="186"/>
      <c r="Q1029" s="182"/>
      <c r="R1029" s="182"/>
      <c r="S1029" s="182"/>
      <c r="T1029" s="186"/>
      <c r="U1029" s="186"/>
      <c r="AA1029" s="35"/>
      <c r="AB1029" s="35"/>
    </row>
    <row r="1030" spans="1:28" x14ac:dyDescent="0.2">
      <c r="A1030" s="177"/>
      <c r="B1030" s="186"/>
      <c r="C1030" s="186"/>
      <c r="D1030" s="186"/>
      <c r="E1030" s="182"/>
      <c r="F1030" s="182"/>
      <c r="G1030" s="187"/>
      <c r="H1030" s="187"/>
      <c r="I1030" s="40"/>
      <c r="J1030" s="186"/>
      <c r="K1030" s="186"/>
      <c r="L1030" s="186"/>
      <c r="M1030" s="186"/>
      <c r="N1030" s="186"/>
      <c r="O1030" s="186"/>
      <c r="P1030" s="186"/>
      <c r="Q1030" s="182"/>
      <c r="R1030" s="182"/>
      <c r="S1030" s="182"/>
      <c r="T1030" s="186"/>
      <c r="U1030" s="186"/>
      <c r="AA1030" s="35"/>
      <c r="AB1030" s="35"/>
    </row>
    <row r="1031" spans="1:28" x14ac:dyDescent="0.2">
      <c r="A1031" s="177"/>
      <c r="B1031" s="186"/>
      <c r="C1031" s="186"/>
      <c r="D1031" s="186"/>
      <c r="E1031" s="182"/>
      <c r="F1031" s="182"/>
      <c r="G1031" s="187"/>
      <c r="H1031" s="187"/>
      <c r="I1031" s="40"/>
      <c r="J1031" s="186"/>
      <c r="K1031" s="186"/>
      <c r="L1031" s="186"/>
      <c r="M1031" s="186"/>
      <c r="N1031" s="186"/>
      <c r="O1031" s="186"/>
      <c r="P1031" s="186"/>
      <c r="Q1031" s="182"/>
      <c r="R1031" s="182"/>
      <c r="S1031" s="182"/>
      <c r="T1031" s="186"/>
      <c r="U1031" s="186"/>
      <c r="AA1031" s="35"/>
      <c r="AB1031" s="35"/>
    </row>
    <row r="1032" spans="1:28" x14ac:dyDescent="0.2">
      <c r="A1032" s="177"/>
      <c r="B1032" s="186"/>
      <c r="C1032" s="186"/>
      <c r="D1032" s="186"/>
      <c r="E1032" s="182"/>
      <c r="F1032" s="182"/>
      <c r="G1032" s="187"/>
      <c r="H1032" s="187"/>
      <c r="I1032" s="40"/>
      <c r="J1032" s="186"/>
      <c r="K1032" s="186"/>
      <c r="L1032" s="186"/>
      <c r="M1032" s="186"/>
      <c r="N1032" s="186"/>
      <c r="O1032" s="186"/>
      <c r="P1032" s="186"/>
      <c r="Q1032" s="182"/>
      <c r="R1032" s="182"/>
      <c r="S1032" s="182"/>
      <c r="T1032" s="186"/>
      <c r="U1032" s="186"/>
      <c r="AA1032" s="35"/>
      <c r="AB1032" s="35"/>
    </row>
    <row r="1033" spans="1:28" x14ac:dyDescent="0.2">
      <c r="A1033" s="177"/>
      <c r="B1033" s="186"/>
      <c r="C1033" s="186"/>
      <c r="D1033" s="186"/>
      <c r="E1033" s="182"/>
      <c r="F1033" s="182"/>
      <c r="G1033" s="187"/>
      <c r="H1033" s="187"/>
      <c r="I1033" s="40"/>
      <c r="J1033" s="186"/>
      <c r="K1033" s="186"/>
      <c r="L1033" s="186"/>
      <c r="M1033" s="186"/>
      <c r="N1033" s="186"/>
      <c r="O1033" s="186"/>
      <c r="P1033" s="186"/>
      <c r="Q1033" s="182"/>
      <c r="R1033" s="182"/>
      <c r="S1033" s="182"/>
      <c r="T1033" s="186"/>
      <c r="U1033" s="186"/>
      <c r="AA1033" s="35"/>
      <c r="AB1033" s="35"/>
    </row>
    <row r="1034" spans="1:28" x14ac:dyDescent="0.2">
      <c r="A1034" s="177"/>
      <c r="B1034" s="186"/>
      <c r="C1034" s="186"/>
      <c r="D1034" s="186"/>
      <c r="E1034" s="182"/>
      <c r="F1034" s="182"/>
      <c r="G1034" s="187"/>
      <c r="H1034" s="187"/>
      <c r="I1034" s="40"/>
      <c r="J1034" s="186"/>
      <c r="K1034" s="186"/>
      <c r="L1034" s="186"/>
      <c r="M1034" s="186"/>
      <c r="N1034" s="186"/>
      <c r="O1034" s="186"/>
      <c r="P1034" s="186"/>
      <c r="Q1034" s="182"/>
      <c r="R1034" s="182"/>
      <c r="S1034" s="182"/>
      <c r="T1034" s="186"/>
      <c r="U1034" s="186"/>
      <c r="AA1034" s="35"/>
      <c r="AB1034" s="35"/>
    </row>
    <row r="1035" spans="1:28" x14ac:dyDescent="0.2">
      <c r="A1035" s="177"/>
      <c r="B1035" s="186"/>
      <c r="C1035" s="186"/>
      <c r="D1035" s="186"/>
      <c r="E1035" s="182"/>
      <c r="F1035" s="182"/>
      <c r="G1035" s="187"/>
      <c r="H1035" s="187"/>
      <c r="I1035" s="40"/>
      <c r="J1035" s="186"/>
      <c r="K1035" s="186"/>
      <c r="L1035" s="186"/>
      <c r="M1035" s="186"/>
      <c r="N1035" s="186"/>
      <c r="O1035" s="186"/>
      <c r="P1035" s="186"/>
      <c r="Q1035" s="182"/>
      <c r="R1035" s="182"/>
      <c r="S1035" s="182"/>
      <c r="T1035" s="186"/>
      <c r="U1035" s="186"/>
      <c r="AA1035" s="35"/>
      <c r="AB1035" s="35"/>
    </row>
    <row r="1036" spans="1:28" x14ac:dyDescent="0.2">
      <c r="A1036" s="177"/>
      <c r="B1036" s="186"/>
      <c r="C1036" s="186"/>
      <c r="D1036" s="186"/>
      <c r="E1036" s="182"/>
      <c r="F1036" s="182"/>
      <c r="G1036" s="187"/>
      <c r="H1036" s="187"/>
      <c r="I1036" s="40"/>
      <c r="J1036" s="186"/>
      <c r="K1036" s="186"/>
      <c r="L1036" s="186"/>
      <c r="M1036" s="186"/>
      <c r="N1036" s="186"/>
      <c r="O1036" s="186"/>
      <c r="P1036" s="186"/>
      <c r="Q1036" s="182"/>
      <c r="R1036" s="182"/>
      <c r="S1036" s="182"/>
      <c r="T1036" s="186"/>
      <c r="U1036" s="186"/>
      <c r="AA1036" s="35"/>
      <c r="AB1036" s="35"/>
    </row>
    <row r="1037" spans="1:28" x14ac:dyDescent="0.2">
      <c r="A1037" s="177"/>
      <c r="B1037" s="186"/>
      <c r="C1037" s="186"/>
      <c r="D1037" s="186"/>
      <c r="E1037" s="182"/>
      <c r="F1037" s="182"/>
      <c r="G1037" s="187"/>
      <c r="H1037" s="187"/>
      <c r="I1037" s="40"/>
      <c r="J1037" s="186"/>
      <c r="K1037" s="186"/>
      <c r="L1037" s="186"/>
      <c r="M1037" s="186"/>
      <c r="N1037" s="186"/>
      <c r="O1037" s="186"/>
      <c r="P1037" s="186"/>
      <c r="Q1037" s="182"/>
      <c r="R1037" s="182"/>
      <c r="S1037" s="182"/>
      <c r="T1037" s="186"/>
      <c r="U1037" s="186"/>
      <c r="AA1037" s="35"/>
      <c r="AB1037" s="35"/>
    </row>
    <row r="1038" spans="1:28" x14ac:dyDescent="0.2">
      <c r="A1038" s="177"/>
      <c r="B1038" s="186"/>
      <c r="C1038" s="186"/>
      <c r="D1038" s="186"/>
      <c r="E1038" s="182"/>
      <c r="F1038" s="182"/>
      <c r="G1038" s="187"/>
      <c r="H1038" s="187"/>
      <c r="I1038" s="40"/>
      <c r="J1038" s="186"/>
      <c r="K1038" s="186"/>
      <c r="L1038" s="186"/>
      <c r="M1038" s="186"/>
      <c r="N1038" s="186"/>
      <c r="O1038" s="186"/>
      <c r="P1038" s="186"/>
      <c r="Q1038" s="182"/>
      <c r="R1038" s="182"/>
      <c r="S1038" s="182"/>
      <c r="T1038" s="186"/>
      <c r="U1038" s="186"/>
      <c r="AA1038" s="35"/>
      <c r="AB1038" s="35"/>
    </row>
    <row r="1039" spans="1:28" x14ac:dyDescent="0.2">
      <c r="A1039" s="177"/>
      <c r="B1039" s="186"/>
      <c r="C1039" s="186"/>
      <c r="D1039" s="186"/>
      <c r="E1039" s="182"/>
      <c r="F1039" s="182"/>
      <c r="G1039" s="187"/>
      <c r="H1039" s="187"/>
      <c r="I1039" s="40"/>
      <c r="J1039" s="186"/>
      <c r="K1039" s="186"/>
      <c r="L1039" s="186"/>
      <c r="M1039" s="186"/>
      <c r="N1039" s="186"/>
      <c r="O1039" s="186"/>
      <c r="P1039" s="186"/>
      <c r="Q1039" s="182"/>
      <c r="R1039" s="182"/>
      <c r="S1039" s="182"/>
      <c r="T1039" s="186"/>
      <c r="U1039" s="186"/>
      <c r="AA1039" s="35"/>
      <c r="AB1039" s="35"/>
    </row>
    <row r="1040" spans="1:28" x14ac:dyDescent="0.2">
      <c r="A1040" s="177"/>
      <c r="B1040" s="186"/>
      <c r="C1040" s="186"/>
      <c r="D1040" s="186"/>
      <c r="E1040" s="182"/>
      <c r="F1040" s="182"/>
      <c r="G1040" s="187"/>
      <c r="H1040" s="187"/>
      <c r="I1040" s="40"/>
      <c r="J1040" s="186"/>
      <c r="K1040" s="186"/>
      <c r="L1040" s="186"/>
      <c r="M1040" s="186"/>
      <c r="N1040" s="186"/>
      <c r="O1040" s="186"/>
      <c r="P1040" s="186"/>
      <c r="Q1040" s="182"/>
      <c r="R1040" s="182"/>
      <c r="S1040" s="182"/>
      <c r="T1040" s="186"/>
      <c r="U1040" s="186"/>
      <c r="AA1040" s="35"/>
      <c r="AB1040" s="35"/>
    </row>
    <row r="1041" spans="1:28" x14ac:dyDescent="0.2">
      <c r="A1041" s="177"/>
      <c r="B1041" s="186"/>
      <c r="C1041" s="186"/>
      <c r="D1041" s="186"/>
      <c r="E1041" s="182"/>
      <c r="F1041" s="182"/>
      <c r="G1041" s="187"/>
      <c r="H1041" s="187"/>
      <c r="I1041" s="40"/>
      <c r="J1041" s="186"/>
      <c r="K1041" s="186"/>
      <c r="L1041" s="186"/>
      <c r="M1041" s="186"/>
      <c r="N1041" s="186"/>
      <c r="O1041" s="186"/>
      <c r="P1041" s="186"/>
      <c r="Q1041" s="182"/>
      <c r="R1041" s="182"/>
      <c r="S1041" s="182"/>
      <c r="T1041" s="186"/>
      <c r="U1041" s="186"/>
      <c r="AA1041" s="35"/>
      <c r="AB1041" s="35"/>
    </row>
    <row r="1042" spans="1:28" x14ac:dyDescent="0.2">
      <c r="A1042" s="177"/>
      <c r="B1042" s="186"/>
      <c r="C1042" s="186"/>
      <c r="D1042" s="186"/>
      <c r="E1042" s="182"/>
      <c r="F1042" s="182"/>
      <c r="G1042" s="187"/>
      <c r="H1042" s="187"/>
      <c r="I1042" s="40"/>
      <c r="J1042" s="186"/>
      <c r="K1042" s="186"/>
      <c r="L1042" s="186"/>
      <c r="M1042" s="186"/>
      <c r="N1042" s="186"/>
      <c r="O1042" s="186"/>
      <c r="P1042" s="186"/>
      <c r="Q1042" s="182"/>
      <c r="R1042" s="182"/>
      <c r="S1042" s="182"/>
      <c r="T1042" s="186"/>
      <c r="U1042" s="186"/>
      <c r="AA1042" s="35"/>
      <c r="AB1042" s="35"/>
    </row>
    <row r="1043" spans="1:28" x14ac:dyDescent="0.2">
      <c r="A1043" s="177"/>
      <c r="B1043" s="186"/>
      <c r="C1043" s="186"/>
      <c r="D1043" s="186"/>
      <c r="E1043" s="182"/>
      <c r="F1043" s="182"/>
      <c r="G1043" s="187"/>
      <c r="H1043" s="187"/>
      <c r="I1043" s="40"/>
      <c r="J1043" s="186"/>
      <c r="K1043" s="186"/>
      <c r="L1043" s="186"/>
      <c r="M1043" s="186"/>
      <c r="N1043" s="186"/>
      <c r="O1043" s="186"/>
      <c r="P1043" s="186"/>
      <c r="Q1043" s="182"/>
      <c r="R1043" s="182"/>
      <c r="S1043" s="182"/>
      <c r="T1043" s="186"/>
      <c r="U1043" s="186"/>
      <c r="AA1043" s="35"/>
      <c r="AB1043" s="35"/>
    </row>
    <row r="1044" spans="1:28" x14ac:dyDescent="0.2">
      <c r="A1044" s="177"/>
      <c r="B1044" s="186"/>
      <c r="C1044" s="186"/>
      <c r="D1044" s="186"/>
      <c r="E1044" s="182"/>
      <c r="F1044" s="182"/>
      <c r="G1044" s="187"/>
      <c r="H1044" s="187"/>
      <c r="I1044" s="40"/>
      <c r="J1044" s="186"/>
      <c r="K1044" s="186"/>
      <c r="L1044" s="186"/>
      <c r="M1044" s="186"/>
      <c r="N1044" s="186"/>
      <c r="O1044" s="186"/>
      <c r="P1044" s="186"/>
      <c r="Q1044" s="182"/>
      <c r="R1044" s="182"/>
      <c r="S1044" s="182"/>
      <c r="T1044" s="186"/>
      <c r="U1044" s="186"/>
      <c r="AA1044" s="35"/>
      <c r="AB1044" s="35"/>
    </row>
    <row r="1045" spans="1:28" x14ac:dyDescent="0.2">
      <c r="A1045" s="177"/>
      <c r="B1045" s="186"/>
      <c r="C1045" s="186"/>
      <c r="D1045" s="186"/>
      <c r="E1045" s="182"/>
      <c r="F1045" s="182"/>
      <c r="G1045" s="187"/>
      <c r="H1045" s="187"/>
      <c r="I1045" s="40"/>
      <c r="J1045" s="186"/>
      <c r="K1045" s="186"/>
      <c r="L1045" s="186"/>
      <c r="M1045" s="186"/>
      <c r="N1045" s="186"/>
      <c r="O1045" s="186"/>
      <c r="P1045" s="186"/>
      <c r="Q1045" s="182"/>
      <c r="R1045" s="182"/>
      <c r="S1045" s="182"/>
      <c r="T1045" s="186"/>
      <c r="U1045" s="186"/>
      <c r="AA1045" s="35"/>
      <c r="AB1045" s="35"/>
    </row>
    <row r="1046" spans="1:28" x14ac:dyDescent="0.2">
      <c r="A1046" s="177"/>
      <c r="B1046" s="186"/>
      <c r="C1046" s="186"/>
      <c r="D1046" s="186"/>
      <c r="E1046" s="182"/>
      <c r="F1046" s="182"/>
      <c r="G1046" s="187"/>
      <c r="H1046" s="187"/>
      <c r="I1046" s="40"/>
      <c r="J1046" s="186"/>
      <c r="K1046" s="186"/>
      <c r="L1046" s="186"/>
      <c r="M1046" s="186"/>
      <c r="N1046" s="186"/>
      <c r="O1046" s="186"/>
      <c r="P1046" s="186"/>
      <c r="Q1046" s="182"/>
      <c r="R1046" s="182"/>
      <c r="S1046" s="182"/>
      <c r="T1046" s="186"/>
      <c r="U1046" s="186"/>
      <c r="AA1046" s="35"/>
      <c r="AB1046" s="35"/>
    </row>
    <row r="1047" spans="1:28" x14ac:dyDescent="0.2">
      <c r="A1047" s="177"/>
      <c r="B1047" s="186"/>
      <c r="C1047" s="186"/>
      <c r="D1047" s="186"/>
      <c r="E1047" s="182"/>
      <c r="F1047" s="182"/>
      <c r="G1047" s="187"/>
      <c r="H1047" s="187"/>
      <c r="I1047" s="40"/>
      <c r="J1047" s="186"/>
      <c r="K1047" s="186"/>
      <c r="L1047" s="186"/>
      <c r="M1047" s="186"/>
      <c r="N1047" s="186"/>
      <c r="O1047" s="186"/>
      <c r="P1047" s="186"/>
      <c r="Q1047" s="182"/>
      <c r="R1047" s="182"/>
      <c r="S1047" s="182"/>
      <c r="T1047" s="186"/>
      <c r="U1047" s="186"/>
      <c r="AA1047" s="35"/>
      <c r="AB1047" s="35"/>
    </row>
    <row r="1048" spans="1:28" x14ac:dyDescent="0.2">
      <c r="A1048" s="177"/>
      <c r="B1048" s="186"/>
      <c r="C1048" s="186"/>
      <c r="D1048" s="186"/>
      <c r="E1048" s="182"/>
      <c r="F1048" s="182"/>
      <c r="G1048" s="187"/>
      <c r="H1048" s="187"/>
      <c r="I1048" s="40"/>
      <c r="J1048" s="186"/>
      <c r="K1048" s="186"/>
      <c r="L1048" s="186"/>
      <c r="M1048" s="186"/>
      <c r="N1048" s="186"/>
      <c r="O1048" s="186"/>
      <c r="P1048" s="186"/>
      <c r="Q1048" s="182"/>
      <c r="R1048" s="182"/>
      <c r="S1048" s="182"/>
      <c r="T1048" s="186"/>
      <c r="U1048" s="186"/>
      <c r="AA1048" s="35"/>
      <c r="AB1048" s="35"/>
    </row>
    <row r="1049" spans="1:28" x14ac:dyDescent="0.2">
      <c r="A1049" s="177"/>
      <c r="B1049" s="186"/>
      <c r="C1049" s="186"/>
      <c r="D1049" s="186"/>
      <c r="E1049" s="182"/>
      <c r="F1049" s="182"/>
      <c r="G1049" s="187"/>
      <c r="H1049" s="187"/>
      <c r="I1049" s="40"/>
      <c r="J1049" s="186"/>
      <c r="K1049" s="186"/>
      <c r="L1049" s="186"/>
      <c r="M1049" s="186"/>
      <c r="N1049" s="186"/>
      <c r="O1049" s="186"/>
      <c r="P1049" s="186"/>
      <c r="Q1049" s="182"/>
      <c r="R1049" s="182"/>
      <c r="S1049" s="182"/>
      <c r="T1049" s="186"/>
      <c r="U1049" s="186"/>
      <c r="AA1049" s="35"/>
      <c r="AB1049" s="35"/>
    </row>
    <row r="1050" spans="1:28" x14ac:dyDescent="0.2">
      <c r="A1050" s="177"/>
      <c r="B1050" s="186"/>
      <c r="C1050" s="186"/>
      <c r="D1050" s="186"/>
      <c r="E1050" s="182"/>
      <c r="F1050" s="182"/>
      <c r="G1050" s="187"/>
      <c r="H1050" s="187"/>
      <c r="I1050" s="40"/>
      <c r="J1050" s="186"/>
      <c r="K1050" s="186"/>
      <c r="L1050" s="186"/>
      <c r="M1050" s="186"/>
      <c r="N1050" s="186"/>
      <c r="O1050" s="186"/>
      <c r="P1050" s="186"/>
      <c r="Q1050" s="182"/>
      <c r="R1050" s="182"/>
      <c r="S1050" s="182"/>
      <c r="T1050" s="186"/>
      <c r="U1050" s="186"/>
      <c r="AA1050" s="35"/>
      <c r="AB1050" s="35"/>
    </row>
    <row r="1051" spans="1:28" x14ac:dyDescent="0.2">
      <c r="A1051" s="177"/>
      <c r="B1051" s="186"/>
      <c r="C1051" s="186"/>
      <c r="D1051" s="186"/>
      <c r="E1051" s="182"/>
      <c r="F1051" s="182"/>
      <c r="G1051" s="187"/>
      <c r="H1051" s="187"/>
      <c r="I1051" s="40"/>
      <c r="J1051" s="186"/>
      <c r="K1051" s="186"/>
      <c r="L1051" s="186"/>
      <c r="M1051" s="186"/>
      <c r="N1051" s="186"/>
      <c r="O1051" s="186"/>
      <c r="P1051" s="186"/>
      <c r="Q1051" s="182"/>
      <c r="R1051" s="182"/>
      <c r="S1051" s="182"/>
      <c r="T1051" s="186"/>
      <c r="U1051" s="186"/>
      <c r="AA1051" s="35"/>
      <c r="AB1051" s="35"/>
    </row>
    <row r="1052" spans="1:28" x14ac:dyDescent="0.2">
      <c r="A1052" s="177"/>
      <c r="B1052" s="186"/>
      <c r="C1052" s="186"/>
      <c r="D1052" s="186"/>
      <c r="E1052" s="182"/>
      <c r="F1052" s="182"/>
      <c r="G1052" s="187"/>
      <c r="H1052" s="187"/>
      <c r="I1052" s="40"/>
      <c r="J1052" s="186"/>
      <c r="K1052" s="186"/>
      <c r="L1052" s="186"/>
      <c r="M1052" s="186"/>
      <c r="N1052" s="186"/>
      <c r="O1052" s="186"/>
      <c r="P1052" s="186"/>
      <c r="Q1052" s="182"/>
      <c r="R1052" s="182"/>
      <c r="S1052" s="182"/>
      <c r="T1052" s="186"/>
      <c r="U1052" s="186"/>
      <c r="AA1052" s="35"/>
      <c r="AB1052" s="35"/>
    </row>
    <row r="1053" spans="1:28" x14ac:dyDescent="0.2">
      <c r="A1053" s="177"/>
      <c r="B1053" s="186"/>
      <c r="C1053" s="186"/>
      <c r="D1053" s="186"/>
      <c r="E1053" s="182"/>
      <c r="F1053" s="182"/>
      <c r="G1053" s="187"/>
      <c r="H1053" s="187"/>
      <c r="I1053" s="40"/>
      <c r="J1053" s="186"/>
      <c r="K1053" s="186"/>
      <c r="L1053" s="186"/>
      <c r="M1053" s="186"/>
      <c r="N1053" s="186"/>
      <c r="O1053" s="186"/>
      <c r="P1053" s="186"/>
      <c r="Q1053" s="182"/>
      <c r="R1053" s="182"/>
      <c r="S1053" s="182"/>
      <c r="T1053" s="186"/>
      <c r="U1053" s="186"/>
      <c r="AA1053" s="35"/>
      <c r="AB1053" s="35"/>
    </row>
    <row r="1054" spans="1:28" x14ac:dyDescent="0.2">
      <c r="A1054" s="177"/>
      <c r="B1054" s="186"/>
      <c r="C1054" s="186"/>
      <c r="D1054" s="186"/>
      <c r="E1054" s="182"/>
      <c r="F1054" s="182"/>
      <c r="G1054" s="187"/>
      <c r="H1054" s="187"/>
      <c r="I1054" s="40"/>
      <c r="J1054" s="186"/>
      <c r="K1054" s="186"/>
      <c r="L1054" s="186"/>
      <c r="M1054" s="186"/>
      <c r="N1054" s="186"/>
      <c r="O1054" s="186"/>
      <c r="P1054" s="186"/>
      <c r="Q1054" s="182"/>
      <c r="R1054" s="182"/>
      <c r="S1054" s="182"/>
      <c r="T1054" s="186"/>
      <c r="U1054" s="186"/>
      <c r="AA1054" s="35"/>
      <c r="AB1054" s="35"/>
    </row>
    <row r="1055" spans="1:28" x14ac:dyDescent="0.2">
      <c r="A1055" s="177"/>
      <c r="B1055" s="186"/>
      <c r="C1055" s="186"/>
      <c r="D1055" s="186"/>
      <c r="E1055" s="182"/>
      <c r="F1055" s="182"/>
      <c r="G1055" s="187"/>
      <c r="H1055" s="187"/>
      <c r="I1055" s="40"/>
      <c r="J1055" s="186"/>
      <c r="K1055" s="186"/>
      <c r="L1055" s="186"/>
      <c r="M1055" s="186"/>
      <c r="N1055" s="186"/>
      <c r="O1055" s="186"/>
      <c r="P1055" s="186"/>
      <c r="Q1055" s="182"/>
      <c r="R1055" s="182"/>
      <c r="S1055" s="182"/>
      <c r="T1055" s="186"/>
      <c r="U1055" s="186"/>
      <c r="AA1055" s="35"/>
      <c r="AB1055" s="35"/>
    </row>
    <row r="1056" spans="1:28" x14ac:dyDescent="0.2">
      <c r="A1056" s="177"/>
      <c r="B1056" s="186"/>
      <c r="C1056" s="186"/>
      <c r="D1056" s="186"/>
      <c r="E1056" s="182"/>
      <c r="F1056" s="182"/>
      <c r="G1056" s="187"/>
      <c r="H1056" s="187"/>
      <c r="I1056" s="40"/>
      <c r="J1056" s="186"/>
      <c r="K1056" s="186"/>
      <c r="L1056" s="186"/>
      <c r="M1056" s="186"/>
      <c r="N1056" s="186"/>
      <c r="O1056" s="186"/>
      <c r="P1056" s="186"/>
      <c r="Q1056" s="182"/>
      <c r="R1056" s="182"/>
      <c r="S1056" s="182"/>
      <c r="T1056" s="186"/>
      <c r="U1056" s="186"/>
      <c r="AA1056" s="35"/>
      <c r="AB1056" s="35"/>
    </row>
    <row r="1057" spans="1:28" x14ac:dyDescent="0.2">
      <c r="A1057" s="177"/>
      <c r="B1057" s="186"/>
      <c r="C1057" s="186"/>
      <c r="D1057" s="186"/>
      <c r="E1057" s="182"/>
      <c r="F1057" s="182"/>
      <c r="G1057" s="187"/>
      <c r="H1057" s="187"/>
      <c r="I1057" s="40"/>
      <c r="J1057" s="186"/>
      <c r="K1057" s="186"/>
      <c r="L1057" s="186"/>
      <c r="M1057" s="186"/>
      <c r="N1057" s="186"/>
      <c r="O1057" s="186"/>
      <c r="P1057" s="186"/>
      <c r="Q1057" s="182"/>
      <c r="R1057" s="182"/>
      <c r="S1057" s="182"/>
      <c r="T1057" s="186"/>
      <c r="U1057" s="186"/>
      <c r="AA1057" s="35"/>
      <c r="AB1057" s="35"/>
    </row>
    <row r="1058" spans="1:28" x14ac:dyDescent="0.2">
      <c r="A1058" s="177"/>
      <c r="B1058" s="186"/>
      <c r="C1058" s="186"/>
      <c r="D1058" s="186"/>
      <c r="E1058" s="182"/>
      <c r="F1058" s="182"/>
      <c r="G1058" s="187"/>
      <c r="H1058" s="187"/>
      <c r="I1058" s="40"/>
      <c r="J1058" s="186"/>
      <c r="K1058" s="186"/>
      <c r="L1058" s="186"/>
      <c r="M1058" s="186"/>
      <c r="N1058" s="186"/>
      <c r="O1058" s="186"/>
      <c r="P1058" s="186"/>
      <c r="Q1058" s="182"/>
      <c r="R1058" s="182"/>
      <c r="S1058" s="182"/>
      <c r="T1058" s="186"/>
      <c r="U1058" s="186"/>
      <c r="AA1058" s="35"/>
      <c r="AB1058" s="35"/>
    </row>
    <row r="1059" spans="1:28" x14ac:dyDescent="0.2">
      <c r="A1059" s="177"/>
      <c r="B1059" s="186"/>
      <c r="C1059" s="186"/>
      <c r="D1059" s="186"/>
      <c r="E1059" s="182"/>
      <c r="F1059" s="182"/>
      <c r="G1059" s="187"/>
      <c r="H1059" s="187"/>
      <c r="I1059" s="40"/>
      <c r="J1059" s="186"/>
      <c r="K1059" s="186"/>
      <c r="L1059" s="186"/>
      <c r="M1059" s="186"/>
      <c r="N1059" s="186"/>
      <c r="O1059" s="186"/>
      <c r="P1059" s="186"/>
      <c r="Q1059" s="182"/>
      <c r="R1059" s="182"/>
      <c r="S1059" s="182"/>
      <c r="T1059" s="186"/>
      <c r="U1059" s="186"/>
      <c r="AA1059" s="35"/>
      <c r="AB1059" s="35"/>
    </row>
    <row r="1060" spans="1:28" x14ac:dyDescent="0.2">
      <c r="A1060" s="177"/>
      <c r="B1060" s="186"/>
      <c r="C1060" s="186"/>
      <c r="D1060" s="186"/>
      <c r="E1060" s="182"/>
      <c r="F1060" s="182"/>
      <c r="G1060" s="187"/>
      <c r="H1060" s="187"/>
      <c r="I1060" s="40"/>
      <c r="J1060" s="186"/>
      <c r="K1060" s="186"/>
      <c r="L1060" s="186"/>
      <c r="M1060" s="186"/>
      <c r="N1060" s="186"/>
      <c r="O1060" s="186"/>
      <c r="P1060" s="186"/>
      <c r="Q1060" s="182"/>
      <c r="R1060" s="182"/>
      <c r="S1060" s="182"/>
      <c r="T1060" s="186"/>
      <c r="U1060" s="186"/>
      <c r="AA1060" s="35"/>
      <c r="AB1060" s="35"/>
    </row>
    <row r="1061" spans="1:28" x14ac:dyDescent="0.2">
      <c r="A1061" s="177"/>
      <c r="B1061" s="186"/>
      <c r="C1061" s="186"/>
      <c r="D1061" s="186"/>
      <c r="E1061" s="182"/>
      <c r="F1061" s="182"/>
      <c r="G1061" s="187"/>
      <c r="H1061" s="187"/>
      <c r="I1061" s="40"/>
      <c r="J1061" s="186"/>
      <c r="K1061" s="186"/>
      <c r="L1061" s="186"/>
      <c r="M1061" s="186"/>
      <c r="N1061" s="186"/>
      <c r="O1061" s="186"/>
      <c r="P1061" s="186"/>
      <c r="Q1061" s="182"/>
      <c r="R1061" s="182"/>
      <c r="S1061" s="182"/>
      <c r="T1061" s="186"/>
      <c r="U1061" s="186"/>
      <c r="AA1061" s="35"/>
      <c r="AB1061" s="35"/>
    </row>
    <row r="1062" spans="1:28" x14ac:dyDescent="0.2">
      <c r="A1062" s="177"/>
      <c r="B1062" s="186"/>
      <c r="C1062" s="186"/>
      <c r="D1062" s="186"/>
      <c r="E1062" s="182"/>
      <c r="F1062" s="182"/>
      <c r="G1062" s="187"/>
      <c r="H1062" s="187"/>
      <c r="I1062" s="40"/>
      <c r="J1062" s="186"/>
      <c r="K1062" s="186"/>
      <c r="L1062" s="186"/>
      <c r="M1062" s="186"/>
      <c r="N1062" s="186"/>
      <c r="O1062" s="186"/>
      <c r="P1062" s="186"/>
      <c r="Q1062" s="182"/>
      <c r="R1062" s="182"/>
      <c r="S1062" s="182"/>
      <c r="T1062" s="186"/>
      <c r="U1062" s="186"/>
      <c r="AA1062" s="35"/>
      <c r="AB1062" s="35"/>
    </row>
    <row r="1063" spans="1:28" x14ac:dyDescent="0.2">
      <c r="A1063" s="177"/>
      <c r="B1063" s="186"/>
      <c r="C1063" s="186"/>
      <c r="D1063" s="186"/>
      <c r="E1063" s="182"/>
      <c r="F1063" s="182"/>
      <c r="G1063" s="187"/>
      <c r="H1063" s="187"/>
      <c r="I1063" s="40"/>
      <c r="J1063" s="186"/>
      <c r="K1063" s="186"/>
      <c r="L1063" s="186"/>
      <c r="M1063" s="186"/>
      <c r="N1063" s="186"/>
      <c r="O1063" s="186"/>
      <c r="P1063" s="186"/>
      <c r="Q1063" s="182"/>
      <c r="R1063" s="182"/>
      <c r="S1063" s="182"/>
      <c r="T1063" s="186"/>
      <c r="U1063" s="186"/>
      <c r="AA1063" s="35"/>
      <c r="AB1063" s="35"/>
    </row>
    <row r="1064" spans="1:28" x14ac:dyDescent="0.2">
      <c r="A1064" s="177"/>
      <c r="B1064" s="186"/>
      <c r="C1064" s="186"/>
      <c r="D1064" s="186"/>
      <c r="E1064" s="182"/>
      <c r="F1064" s="182"/>
      <c r="G1064" s="187"/>
      <c r="H1064" s="187"/>
      <c r="I1064" s="40"/>
      <c r="J1064" s="186"/>
      <c r="K1064" s="186"/>
      <c r="L1064" s="186"/>
      <c r="M1064" s="186"/>
      <c r="N1064" s="186"/>
      <c r="O1064" s="186"/>
      <c r="P1064" s="186"/>
      <c r="Q1064" s="182"/>
      <c r="R1064" s="182"/>
      <c r="S1064" s="182"/>
      <c r="T1064" s="186"/>
      <c r="U1064" s="186"/>
      <c r="AA1064" s="35"/>
      <c r="AB1064" s="35"/>
    </row>
    <row r="1065" spans="1:28" x14ac:dyDescent="0.2">
      <c r="A1065" s="177"/>
      <c r="B1065" s="186"/>
      <c r="C1065" s="186"/>
      <c r="D1065" s="186"/>
      <c r="E1065" s="182"/>
      <c r="F1065" s="182"/>
      <c r="G1065" s="187"/>
      <c r="H1065" s="187"/>
      <c r="I1065" s="40"/>
      <c r="J1065" s="186"/>
      <c r="K1065" s="186"/>
      <c r="L1065" s="186"/>
      <c r="M1065" s="186"/>
      <c r="N1065" s="186"/>
      <c r="O1065" s="186"/>
      <c r="P1065" s="186"/>
      <c r="Q1065" s="182"/>
      <c r="R1065" s="182"/>
      <c r="S1065" s="182"/>
      <c r="T1065" s="186"/>
      <c r="U1065" s="186"/>
      <c r="AA1065" s="35"/>
      <c r="AB1065" s="35"/>
    </row>
    <row r="1066" spans="1:28" x14ac:dyDescent="0.2">
      <c r="A1066" s="177"/>
      <c r="B1066" s="186"/>
      <c r="C1066" s="186"/>
      <c r="D1066" s="186"/>
      <c r="E1066" s="182"/>
      <c r="F1066" s="182"/>
      <c r="G1066" s="187"/>
      <c r="H1066" s="187"/>
      <c r="I1066" s="40"/>
      <c r="J1066" s="186"/>
      <c r="K1066" s="186"/>
      <c r="L1066" s="186"/>
      <c r="M1066" s="186"/>
      <c r="N1066" s="186"/>
      <c r="O1066" s="186"/>
      <c r="P1066" s="186"/>
      <c r="Q1066" s="182"/>
      <c r="R1066" s="182"/>
      <c r="S1066" s="182"/>
      <c r="T1066" s="186"/>
      <c r="U1066" s="186"/>
      <c r="AA1066" s="35"/>
      <c r="AB1066" s="35"/>
    </row>
    <row r="1067" spans="1:28" x14ac:dyDescent="0.2">
      <c r="A1067" s="177"/>
      <c r="B1067" s="186"/>
      <c r="C1067" s="186"/>
      <c r="D1067" s="186"/>
      <c r="E1067" s="182"/>
      <c r="F1067" s="182"/>
      <c r="G1067" s="187"/>
      <c r="H1067" s="187"/>
      <c r="I1067" s="40"/>
      <c r="J1067" s="186"/>
      <c r="K1067" s="186"/>
      <c r="L1067" s="186"/>
      <c r="M1067" s="186"/>
      <c r="N1067" s="186"/>
      <c r="O1067" s="186"/>
      <c r="P1067" s="186"/>
      <c r="Q1067" s="182"/>
      <c r="R1067" s="182"/>
      <c r="S1067" s="182"/>
      <c r="T1067" s="186"/>
      <c r="U1067" s="186"/>
      <c r="AA1067" s="35"/>
      <c r="AB1067" s="35"/>
    </row>
    <row r="1068" spans="1:28" x14ac:dyDescent="0.2">
      <c r="A1068" s="177"/>
      <c r="B1068" s="186"/>
      <c r="C1068" s="186"/>
      <c r="D1068" s="186"/>
      <c r="E1068" s="182"/>
      <c r="F1068" s="182"/>
      <c r="G1068" s="187"/>
      <c r="H1068" s="187"/>
      <c r="I1068" s="40"/>
      <c r="J1068" s="186"/>
      <c r="K1068" s="186"/>
      <c r="L1068" s="186"/>
      <c r="M1068" s="186"/>
      <c r="N1068" s="186"/>
      <c r="O1068" s="186"/>
      <c r="P1068" s="186"/>
      <c r="Q1068" s="182"/>
      <c r="R1068" s="182"/>
      <c r="S1068" s="182"/>
      <c r="T1068" s="186"/>
      <c r="U1068" s="186"/>
      <c r="AA1068" s="35"/>
      <c r="AB1068" s="35"/>
    </row>
    <row r="1069" spans="1:28" x14ac:dyDescent="0.2">
      <c r="A1069" s="177"/>
      <c r="B1069" s="186"/>
      <c r="C1069" s="186"/>
      <c r="D1069" s="186"/>
      <c r="E1069" s="182"/>
      <c r="F1069" s="182"/>
      <c r="G1069" s="187"/>
      <c r="H1069" s="187"/>
      <c r="I1069" s="40"/>
      <c r="J1069" s="186"/>
      <c r="K1069" s="186"/>
      <c r="L1069" s="186"/>
      <c r="M1069" s="186"/>
      <c r="N1069" s="186"/>
      <c r="O1069" s="186"/>
      <c r="P1069" s="186"/>
      <c r="Q1069" s="182"/>
      <c r="R1069" s="182"/>
      <c r="S1069" s="182"/>
      <c r="T1069" s="186"/>
      <c r="U1069" s="186"/>
      <c r="AA1069" s="35"/>
      <c r="AB1069" s="35"/>
    </row>
    <row r="1070" spans="1:28" x14ac:dyDescent="0.2">
      <c r="A1070" s="177"/>
      <c r="B1070" s="186"/>
      <c r="C1070" s="186"/>
      <c r="D1070" s="186"/>
      <c r="E1070" s="182"/>
      <c r="F1070" s="182"/>
      <c r="G1070" s="187"/>
      <c r="H1070" s="187"/>
      <c r="I1070" s="40"/>
      <c r="J1070" s="186"/>
      <c r="K1070" s="186"/>
      <c r="L1070" s="186"/>
      <c r="M1070" s="186"/>
      <c r="N1070" s="186"/>
      <c r="O1070" s="186"/>
      <c r="P1070" s="186"/>
      <c r="Q1070" s="182"/>
      <c r="R1070" s="182"/>
      <c r="S1070" s="182"/>
      <c r="T1070" s="186"/>
      <c r="U1070" s="186"/>
      <c r="AA1070" s="35"/>
      <c r="AB1070" s="35"/>
    </row>
    <row r="1071" spans="1:28" x14ac:dyDescent="0.2">
      <c r="A1071" s="177"/>
      <c r="B1071" s="186"/>
      <c r="C1071" s="186"/>
      <c r="D1071" s="186"/>
      <c r="E1071" s="182"/>
      <c r="F1071" s="182"/>
      <c r="G1071" s="187"/>
      <c r="H1071" s="187"/>
      <c r="I1071" s="40"/>
      <c r="J1071" s="186"/>
      <c r="K1071" s="186"/>
      <c r="L1071" s="186"/>
      <c r="M1071" s="186"/>
      <c r="N1071" s="186"/>
      <c r="O1071" s="186"/>
      <c r="P1071" s="186"/>
      <c r="Q1071" s="182"/>
      <c r="R1071" s="182"/>
      <c r="S1071" s="182"/>
      <c r="T1071" s="186"/>
      <c r="U1071" s="186"/>
      <c r="AA1071" s="35"/>
      <c r="AB1071" s="35"/>
    </row>
    <row r="1072" spans="1:28" x14ac:dyDescent="0.2">
      <c r="A1072" s="177"/>
      <c r="B1072" s="186"/>
      <c r="C1072" s="186"/>
      <c r="D1072" s="186"/>
      <c r="E1072" s="182"/>
      <c r="F1072" s="182"/>
      <c r="G1072" s="187"/>
      <c r="H1072" s="187"/>
      <c r="I1072" s="40"/>
      <c r="J1072" s="186"/>
      <c r="K1072" s="186"/>
      <c r="L1072" s="186"/>
      <c r="M1072" s="186"/>
      <c r="N1072" s="186"/>
      <c r="O1072" s="186"/>
      <c r="P1072" s="186"/>
      <c r="Q1072" s="182"/>
      <c r="R1072" s="182"/>
      <c r="S1072" s="182"/>
      <c r="T1072" s="186"/>
      <c r="U1072" s="186"/>
      <c r="AA1072" s="35"/>
      <c r="AB1072" s="35"/>
    </row>
    <row r="1073" spans="1:28" x14ac:dyDescent="0.2">
      <c r="A1073" s="177"/>
      <c r="B1073" s="186"/>
      <c r="C1073" s="186"/>
      <c r="D1073" s="186"/>
      <c r="E1073" s="182"/>
      <c r="F1073" s="182"/>
      <c r="G1073" s="187"/>
      <c r="H1073" s="187"/>
      <c r="I1073" s="40"/>
      <c r="J1073" s="186"/>
      <c r="K1073" s="186"/>
      <c r="L1073" s="186"/>
      <c r="M1073" s="186"/>
      <c r="N1073" s="186"/>
      <c r="O1073" s="186"/>
      <c r="P1073" s="186"/>
      <c r="Q1073" s="182"/>
      <c r="R1073" s="182"/>
      <c r="S1073" s="182"/>
      <c r="T1073" s="186"/>
      <c r="U1073" s="186"/>
      <c r="AA1073" s="35"/>
      <c r="AB1073" s="35"/>
    </row>
    <row r="1074" spans="1:28" x14ac:dyDescent="0.2">
      <c r="A1074" s="177"/>
      <c r="B1074" s="186"/>
      <c r="C1074" s="186"/>
      <c r="D1074" s="186"/>
      <c r="E1074" s="182"/>
      <c r="F1074" s="182"/>
      <c r="G1074" s="187"/>
      <c r="H1074" s="187"/>
      <c r="I1074" s="40"/>
      <c r="J1074" s="186"/>
      <c r="K1074" s="186"/>
      <c r="L1074" s="186"/>
      <c r="M1074" s="186"/>
      <c r="N1074" s="186"/>
      <c r="O1074" s="186"/>
      <c r="P1074" s="186"/>
      <c r="Q1074" s="182"/>
      <c r="R1074" s="182"/>
      <c r="S1074" s="182"/>
      <c r="T1074" s="186"/>
      <c r="U1074" s="186"/>
      <c r="AA1074" s="35"/>
      <c r="AB1074" s="35"/>
    </row>
    <row r="1075" spans="1:28" x14ac:dyDescent="0.2">
      <c r="A1075" s="177"/>
      <c r="B1075" s="186"/>
      <c r="C1075" s="186"/>
      <c r="D1075" s="186"/>
      <c r="E1075" s="182"/>
      <c r="F1075" s="182"/>
      <c r="G1075" s="187"/>
      <c r="H1075" s="187"/>
      <c r="I1075" s="40"/>
      <c r="J1075" s="186"/>
      <c r="K1075" s="186"/>
      <c r="L1075" s="186"/>
      <c r="M1075" s="186"/>
      <c r="N1075" s="186"/>
      <c r="O1075" s="186"/>
      <c r="P1075" s="186"/>
      <c r="Q1075" s="182"/>
      <c r="R1075" s="182"/>
      <c r="S1075" s="182"/>
      <c r="T1075" s="186"/>
      <c r="U1075" s="186"/>
      <c r="AA1075" s="35"/>
      <c r="AB1075" s="35"/>
    </row>
    <row r="1076" spans="1:28" x14ac:dyDescent="0.2">
      <c r="A1076" s="177"/>
      <c r="B1076" s="186"/>
      <c r="C1076" s="186"/>
      <c r="D1076" s="186"/>
      <c r="E1076" s="182"/>
      <c r="F1076" s="182"/>
      <c r="G1076" s="187"/>
      <c r="H1076" s="187"/>
      <c r="I1076" s="40"/>
      <c r="J1076" s="186"/>
      <c r="K1076" s="186"/>
      <c r="L1076" s="186"/>
      <c r="M1076" s="186"/>
      <c r="N1076" s="186"/>
      <c r="O1076" s="186"/>
      <c r="P1076" s="186"/>
      <c r="Q1076" s="182"/>
      <c r="R1076" s="182"/>
      <c r="S1076" s="182"/>
      <c r="T1076" s="186"/>
      <c r="U1076" s="186"/>
      <c r="AA1076" s="35"/>
      <c r="AB1076" s="35"/>
    </row>
    <row r="1077" spans="1:28" x14ac:dyDescent="0.2">
      <c r="A1077" s="177"/>
      <c r="B1077" s="186"/>
      <c r="C1077" s="186"/>
      <c r="D1077" s="186"/>
      <c r="E1077" s="182"/>
      <c r="F1077" s="182"/>
      <c r="G1077" s="187"/>
      <c r="H1077" s="187"/>
      <c r="I1077" s="40"/>
      <c r="J1077" s="186"/>
      <c r="K1077" s="186"/>
      <c r="L1077" s="186"/>
      <c r="M1077" s="186"/>
      <c r="N1077" s="186"/>
      <c r="O1077" s="186"/>
      <c r="P1077" s="186"/>
      <c r="Q1077" s="182"/>
      <c r="R1077" s="182"/>
      <c r="S1077" s="182"/>
      <c r="T1077" s="186"/>
      <c r="U1077" s="186"/>
      <c r="AA1077" s="35"/>
      <c r="AB1077" s="35"/>
    </row>
    <row r="1078" spans="1:28" x14ac:dyDescent="0.2">
      <c r="A1078" s="177"/>
      <c r="B1078" s="186"/>
      <c r="C1078" s="186"/>
      <c r="D1078" s="186"/>
      <c r="E1078" s="182"/>
      <c r="F1078" s="182"/>
      <c r="G1078" s="187"/>
      <c r="H1078" s="187"/>
      <c r="I1078" s="40"/>
      <c r="J1078" s="186"/>
      <c r="K1078" s="186"/>
      <c r="L1078" s="186"/>
      <c r="M1078" s="186"/>
      <c r="N1078" s="186"/>
      <c r="O1078" s="186"/>
      <c r="P1078" s="186"/>
      <c r="Q1078" s="182"/>
      <c r="R1078" s="182"/>
      <c r="S1078" s="182"/>
      <c r="T1078" s="186"/>
      <c r="U1078" s="186"/>
      <c r="AA1078" s="35"/>
      <c r="AB1078" s="35"/>
    </row>
    <row r="1079" spans="1:28" x14ac:dyDescent="0.2">
      <c r="A1079" s="177"/>
      <c r="B1079" s="186"/>
      <c r="C1079" s="186"/>
      <c r="D1079" s="186"/>
      <c r="E1079" s="182"/>
      <c r="F1079" s="182"/>
      <c r="G1079" s="187"/>
      <c r="H1079" s="187"/>
      <c r="I1079" s="40"/>
      <c r="J1079" s="186"/>
      <c r="K1079" s="186"/>
      <c r="L1079" s="186"/>
      <c r="M1079" s="186"/>
      <c r="N1079" s="186"/>
      <c r="O1079" s="186"/>
      <c r="P1079" s="186"/>
      <c r="Q1079" s="182"/>
      <c r="R1079" s="182"/>
      <c r="S1079" s="182"/>
      <c r="T1079" s="186"/>
      <c r="U1079" s="186"/>
      <c r="AA1079" s="35"/>
      <c r="AB1079" s="35"/>
    </row>
    <row r="1080" spans="1:28" x14ac:dyDescent="0.2">
      <c r="A1080" s="177"/>
      <c r="B1080" s="186"/>
      <c r="C1080" s="186"/>
      <c r="D1080" s="186"/>
      <c r="E1080" s="182"/>
      <c r="F1080" s="182"/>
      <c r="G1080" s="187"/>
      <c r="H1080" s="187"/>
      <c r="I1080" s="40"/>
      <c r="J1080" s="186"/>
      <c r="K1080" s="186"/>
      <c r="L1080" s="186"/>
      <c r="M1080" s="186"/>
      <c r="N1080" s="186"/>
      <c r="O1080" s="186"/>
      <c r="P1080" s="186"/>
      <c r="Q1080" s="182"/>
      <c r="R1080" s="182"/>
      <c r="S1080" s="182"/>
      <c r="T1080" s="186"/>
      <c r="U1080" s="186"/>
      <c r="AA1080" s="35"/>
      <c r="AB1080" s="35"/>
    </row>
    <row r="1081" spans="1:28" x14ac:dyDescent="0.2">
      <c r="A1081" s="177"/>
      <c r="B1081" s="186"/>
      <c r="C1081" s="186"/>
      <c r="D1081" s="186"/>
      <c r="E1081" s="182"/>
      <c r="F1081" s="182"/>
      <c r="G1081" s="187"/>
      <c r="H1081" s="187"/>
      <c r="I1081" s="40"/>
      <c r="J1081" s="186"/>
      <c r="K1081" s="186"/>
      <c r="L1081" s="186"/>
      <c r="M1081" s="186"/>
      <c r="N1081" s="186"/>
      <c r="O1081" s="186"/>
      <c r="P1081" s="186"/>
      <c r="Q1081" s="182"/>
      <c r="R1081" s="182"/>
      <c r="S1081" s="182"/>
      <c r="T1081" s="186"/>
      <c r="U1081" s="186"/>
      <c r="AA1081" s="35"/>
      <c r="AB1081" s="35"/>
    </row>
    <row r="1082" spans="1:28" x14ac:dyDescent="0.2">
      <c r="A1082" s="177"/>
      <c r="B1082" s="186"/>
      <c r="C1082" s="186"/>
      <c r="D1082" s="186"/>
      <c r="E1082" s="182"/>
      <c r="F1082" s="182"/>
      <c r="G1082" s="187"/>
      <c r="H1082" s="187"/>
      <c r="I1082" s="40"/>
      <c r="J1082" s="186"/>
      <c r="K1082" s="186"/>
      <c r="L1082" s="186"/>
      <c r="M1082" s="186"/>
      <c r="N1082" s="186"/>
      <c r="O1082" s="186"/>
      <c r="P1082" s="186"/>
      <c r="Q1082" s="182"/>
      <c r="R1082" s="182"/>
      <c r="S1082" s="182"/>
      <c r="T1082" s="186"/>
      <c r="U1082" s="186"/>
      <c r="AA1082" s="35"/>
      <c r="AB1082" s="35"/>
    </row>
    <row r="1083" spans="1:28" x14ac:dyDescent="0.2">
      <c r="A1083" s="177"/>
      <c r="B1083" s="186"/>
      <c r="C1083" s="186"/>
      <c r="D1083" s="186"/>
      <c r="E1083" s="182"/>
      <c r="F1083" s="182"/>
      <c r="G1083" s="187"/>
      <c r="H1083" s="187"/>
      <c r="I1083" s="40"/>
      <c r="J1083" s="186"/>
      <c r="K1083" s="186"/>
      <c r="L1083" s="186"/>
      <c r="M1083" s="186"/>
      <c r="N1083" s="186"/>
      <c r="O1083" s="186"/>
      <c r="P1083" s="186"/>
      <c r="Q1083" s="182"/>
      <c r="R1083" s="182"/>
      <c r="S1083" s="182"/>
      <c r="T1083" s="186"/>
      <c r="U1083" s="186"/>
      <c r="AA1083" s="35"/>
      <c r="AB1083" s="35"/>
    </row>
    <row r="1084" spans="1:28" x14ac:dyDescent="0.2">
      <c r="A1084" s="177"/>
      <c r="B1084" s="186"/>
      <c r="C1084" s="186"/>
      <c r="D1084" s="186"/>
      <c r="E1084" s="182"/>
      <c r="F1084" s="182"/>
      <c r="G1084" s="187"/>
      <c r="H1084" s="187"/>
      <c r="I1084" s="40"/>
      <c r="J1084" s="186"/>
      <c r="K1084" s="186"/>
      <c r="L1084" s="186"/>
      <c r="M1084" s="186"/>
      <c r="N1084" s="186"/>
      <c r="O1084" s="186"/>
      <c r="P1084" s="186"/>
      <c r="Q1084" s="182"/>
      <c r="R1084" s="182"/>
      <c r="S1084" s="182"/>
      <c r="T1084" s="186"/>
      <c r="U1084" s="186"/>
      <c r="AA1084" s="35"/>
      <c r="AB1084" s="35"/>
    </row>
    <row r="1085" spans="1:28" x14ac:dyDescent="0.2">
      <c r="A1085" s="177"/>
      <c r="B1085" s="186"/>
      <c r="C1085" s="186"/>
      <c r="D1085" s="186"/>
      <c r="E1085" s="182"/>
      <c r="F1085" s="182"/>
      <c r="G1085" s="187"/>
      <c r="H1085" s="187"/>
      <c r="I1085" s="40"/>
      <c r="J1085" s="186"/>
      <c r="K1085" s="186"/>
      <c r="L1085" s="186"/>
      <c r="M1085" s="186"/>
      <c r="N1085" s="186"/>
      <c r="O1085" s="186"/>
      <c r="P1085" s="186"/>
      <c r="Q1085" s="182"/>
      <c r="R1085" s="182"/>
      <c r="S1085" s="182"/>
      <c r="T1085" s="186"/>
      <c r="U1085" s="186"/>
      <c r="AA1085" s="35"/>
      <c r="AB1085" s="35"/>
    </row>
    <row r="1086" spans="1:28" x14ac:dyDescent="0.2">
      <c r="A1086" s="177"/>
      <c r="B1086" s="186"/>
      <c r="C1086" s="186"/>
      <c r="D1086" s="186"/>
      <c r="E1086" s="182"/>
      <c r="F1086" s="182"/>
      <c r="G1086" s="187"/>
      <c r="H1086" s="187"/>
      <c r="I1086" s="40"/>
      <c r="J1086" s="186"/>
      <c r="K1086" s="186"/>
      <c r="L1086" s="186"/>
      <c r="M1086" s="186"/>
      <c r="N1086" s="186"/>
      <c r="O1086" s="186"/>
      <c r="P1086" s="186"/>
      <c r="Q1086" s="182"/>
      <c r="R1086" s="182"/>
      <c r="S1086" s="182"/>
      <c r="T1086" s="186"/>
      <c r="U1086" s="186"/>
      <c r="AA1086" s="35"/>
      <c r="AB1086" s="35"/>
    </row>
    <row r="1087" spans="1:28" x14ac:dyDescent="0.2">
      <c r="A1087" s="177"/>
      <c r="B1087" s="186"/>
      <c r="C1087" s="186"/>
      <c r="D1087" s="186"/>
      <c r="E1087" s="182"/>
      <c r="F1087" s="182"/>
      <c r="G1087" s="187"/>
      <c r="H1087" s="187"/>
      <c r="I1087" s="40"/>
      <c r="J1087" s="186"/>
      <c r="K1087" s="186"/>
      <c r="L1087" s="186"/>
      <c r="M1087" s="186"/>
      <c r="N1087" s="186"/>
      <c r="O1087" s="186"/>
      <c r="P1087" s="186"/>
      <c r="Q1087" s="182"/>
      <c r="R1087" s="182"/>
      <c r="S1087" s="182"/>
      <c r="T1087" s="186"/>
      <c r="U1087" s="186"/>
      <c r="AA1087" s="35"/>
      <c r="AB1087" s="35"/>
    </row>
    <row r="1088" spans="1:28" x14ac:dyDescent="0.2">
      <c r="A1088" s="177"/>
      <c r="B1088" s="186"/>
      <c r="C1088" s="186"/>
      <c r="D1088" s="186"/>
      <c r="E1088" s="182"/>
      <c r="F1088" s="182"/>
      <c r="G1088" s="187"/>
      <c r="H1088" s="187"/>
      <c r="I1088" s="40"/>
      <c r="J1088" s="186"/>
      <c r="K1088" s="186"/>
      <c r="L1088" s="186"/>
      <c r="M1088" s="186"/>
      <c r="N1088" s="186"/>
      <c r="O1088" s="186"/>
      <c r="P1088" s="186"/>
      <c r="Q1088" s="182"/>
      <c r="R1088" s="182"/>
      <c r="S1088" s="182"/>
      <c r="T1088" s="186"/>
      <c r="U1088" s="186"/>
      <c r="AA1088" s="35"/>
      <c r="AB1088" s="35"/>
    </row>
    <row r="1089" spans="1:28" x14ac:dyDescent="0.2">
      <c r="A1089" s="177"/>
      <c r="B1089" s="186"/>
      <c r="C1089" s="186"/>
      <c r="D1089" s="186"/>
      <c r="E1089" s="182"/>
      <c r="F1089" s="182"/>
      <c r="G1089" s="187"/>
      <c r="H1089" s="187"/>
      <c r="I1089" s="40"/>
      <c r="J1089" s="186"/>
      <c r="K1089" s="186"/>
      <c r="L1089" s="186"/>
      <c r="M1089" s="186"/>
      <c r="N1089" s="186"/>
      <c r="O1089" s="186"/>
      <c r="P1089" s="186"/>
      <c r="Q1089" s="182"/>
      <c r="R1089" s="182"/>
      <c r="S1089" s="182"/>
      <c r="T1089" s="186"/>
      <c r="U1089" s="186"/>
      <c r="AA1089" s="35"/>
      <c r="AB1089" s="35"/>
    </row>
    <row r="1090" spans="1:28" x14ac:dyDescent="0.2">
      <c r="A1090" s="177"/>
      <c r="B1090" s="186"/>
      <c r="C1090" s="186"/>
      <c r="D1090" s="186"/>
      <c r="E1090" s="182"/>
      <c r="F1090" s="182"/>
      <c r="G1090" s="187"/>
      <c r="H1090" s="187"/>
      <c r="I1090" s="40"/>
      <c r="J1090" s="186"/>
      <c r="K1090" s="186"/>
      <c r="L1090" s="186"/>
      <c r="M1090" s="186"/>
      <c r="N1090" s="186"/>
      <c r="O1090" s="186"/>
      <c r="P1090" s="186"/>
      <c r="Q1090" s="182"/>
      <c r="R1090" s="182"/>
      <c r="S1090" s="182"/>
      <c r="T1090" s="186"/>
      <c r="U1090" s="186"/>
      <c r="AA1090" s="35"/>
      <c r="AB1090" s="35"/>
    </row>
    <row r="1091" spans="1:28" x14ac:dyDescent="0.2">
      <c r="A1091" s="177"/>
      <c r="B1091" s="186"/>
      <c r="C1091" s="186"/>
      <c r="D1091" s="186"/>
      <c r="E1091" s="182"/>
      <c r="F1091" s="182"/>
      <c r="G1091" s="187"/>
      <c r="H1091" s="187"/>
      <c r="I1091" s="40"/>
      <c r="J1091" s="186"/>
      <c r="K1091" s="186"/>
      <c r="L1091" s="186"/>
      <c r="M1091" s="186"/>
      <c r="N1091" s="186"/>
      <c r="O1091" s="186"/>
      <c r="P1091" s="186"/>
      <c r="Q1091" s="182"/>
      <c r="R1091" s="182"/>
      <c r="S1091" s="182"/>
      <c r="T1091" s="186"/>
      <c r="U1091" s="186"/>
      <c r="AA1091" s="35"/>
      <c r="AB1091" s="35"/>
    </row>
    <row r="1092" spans="1:28" x14ac:dyDescent="0.2">
      <c r="A1092" s="177"/>
      <c r="B1092" s="186"/>
      <c r="C1092" s="186"/>
      <c r="D1092" s="186"/>
      <c r="E1092" s="182"/>
      <c r="F1092" s="182"/>
      <c r="G1092" s="187"/>
      <c r="H1092" s="187"/>
      <c r="I1092" s="40"/>
      <c r="J1092" s="186"/>
      <c r="K1092" s="186"/>
      <c r="L1092" s="186"/>
      <c r="M1092" s="186"/>
      <c r="N1092" s="186"/>
      <c r="O1092" s="186"/>
      <c r="P1092" s="186"/>
      <c r="Q1092" s="182"/>
      <c r="R1092" s="182"/>
      <c r="S1092" s="182"/>
      <c r="T1092" s="186"/>
      <c r="U1092" s="186"/>
      <c r="AA1092" s="35"/>
      <c r="AB1092" s="35"/>
    </row>
    <row r="1093" spans="1:28" x14ac:dyDescent="0.2">
      <c r="A1093" s="177"/>
      <c r="B1093" s="186"/>
      <c r="C1093" s="186"/>
      <c r="D1093" s="186"/>
      <c r="E1093" s="182"/>
      <c r="F1093" s="182"/>
      <c r="G1093" s="187"/>
      <c r="H1093" s="187"/>
      <c r="I1093" s="40"/>
      <c r="J1093" s="186"/>
      <c r="K1093" s="186"/>
      <c r="L1093" s="186"/>
      <c r="M1093" s="186"/>
      <c r="N1093" s="186"/>
      <c r="O1093" s="186"/>
      <c r="P1093" s="186"/>
      <c r="Q1093" s="182"/>
      <c r="R1093" s="182"/>
      <c r="S1093" s="182"/>
      <c r="T1093" s="186"/>
      <c r="U1093" s="186"/>
      <c r="AA1093" s="35"/>
      <c r="AB1093" s="35"/>
    </row>
    <row r="1094" spans="1:28" x14ac:dyDescent="0.2">
      <c r="A1094" s="177"/>
      <c r="B1094" s="186"/>
      <c r="C1094" s="186"/>
      <c r="D1094" s="186"/>
      <c r="E1094" s="182"/>
      <c r="F1094" s="182"/>
      <c r="G1094" s="187"/>
      <c r="H1094" s="187"/>
      <c r="I1094" s="40"/>
      <c r="J1094" s="186"/>
      <c r="K1094" s="186"/>
      <c r="L1094" s="186"/>
      <c r="M1094" s="186"/>
      <c r="N1094" s="186"/>
      <c r="O1094" s="186"/>
      <c r="P1094" s="186"/>
      <c r="Q1094" s="182"/>
      <c r="R1094" s="182"/>
      <c r="S1094" s="182"/>
      <c r="T1094" s="186"/>
      <c r="U1094" s="186"/>
      <c r="AA1094" s="35"/>
      <c r="AB1094" s="35"/>
    </row>
    <row r="1095" spans="1:28" x14ac:dyDescent="0.2">
      <c r="A1095" s="177"/>
      <c r="B1095" s="186"/>
      <c r="C1095" s="186"/>
      <c r="D1095" s="186"/>
      <c r="E1095" s="182"/>
      <c r="F1095" s="182"/>
      <c r="G1095" s="187"/>
      <c r="H1095" s="187"/>
      <c r="I1095" s="40"/>
      <c r="J1095" s="186"/>
      <c r="K1095" s="186"/>
      <c r="L1095" s="186"/>
      <c r="M1095" s="186"/>
      <c r="N1095" s="186"/>
      <c r="O1095" s="186"/>
      <c r="P1095" s="186"/>
      <c r="Q1095" s="182"/>
      <c r="R1095" s="182"/>
      <c r="S1095" s="182"/>
      <c r="T1095" s="186"/>
      <c r="U1095" s="186"/>
      <c r="AA1095" s="35"/>
      <c r="AB1095" s="35"/>
    </row>
    <row r="1096" spans="1:28" x14ac:dyDescent="0.2">
      <c r="A1096" s="177"/>
      <c r="B1096" s="186"/>
      <c r="C1096" s="186"/>
      <c r="D1096" s="186"/>
      <c r="E1096" s="182"/>
      <c r="F1096" s="182"/>
      <c r="G1096" s="187"/>
      <c r="H1096" s="187"/>
      <c r="I1096" s="40"/>
      <c r="J1096" s="186"/>
      <c r="K1096" s="186"/>
      <c r="L1096" s="186"/>
      <c r="M1096" s="186"/>
      <c r="N1096" s="186"/>
      <c r="O1096" s="186"/>
      <c r="P1096" s="186"/>
      <c r="Q1096" s="182"/>
      <c r="R1096" s="182"/>
      <c r="S1096" s="182"/>
      <c r="T1096" s="186"/>
      <c r="U1096" s="186"/>
      <c r="AA1096" s="35"/>
      <c r="AB1096" s="35"/>
    </row>
    <row r="1097" spans="1:28" x14ac:dyDescent="0.2">
      <c r="A1097" s="177"/>
      <c r="B1097" s="186"/>
      <c r="C1097" s="186"/>
      <c r="D1097" s="186"/>
      <c r="E1097" s="182"/>
      <c r="F1097" s="182"/>
      <c r="G1097" s="187"/>
      <c r="H1097" s="187"/>
      <c r="I1097" s="40"/>
      <c r="J1097" s="186"/>
      <c r="K1097" s="186"/>
      <c r="L1097" s="186"/>
      <c r="M1097" s="186"/>
      <c r="N1097" s="186"/>
      <c r="O1097" s="186"/>
      <c r="P1097" s="186"/>
      <c r="Q1097" s="182"/>
      <c r="R1097" s="182"/>
      <c r="S1097" s="182"/>
      <c r="T1097" s="186"/>
      <c r="U1097" s="186"/>
      <c r="AA1097" s="35"/>
      <c r="AB1097" s="35"/>
    </row>
    <row r="1098" spans="1:28" x14ac:dyDescent="0.2">
      <c r="A1098" s="177"/>
      <c r="B1098" s="186"/>
      <c r="C1098" s="186"/>
      <c r="D1098" s="186"/>
      <c r="E1098" s="182"/>
      <c r="F1098" s="182"/>
      <c r="G1098" s="187"/>
      <c r="H1098" s="187"/>
      <c r="I1098" s="40"/>
      <c r="J1098" s="186"/>
      <c r="K1098" s="186"/>
      <c r="L1098" s="186"/>
      <c r="M1098" s="186"/>
      <c r="N1098" s="186"/>
      <c r="O1098" s="186"/>
      <c r="P1098" s="186"/>
      <c r="Q1098" s="182"/>
      <c r="R1098" s="182"/>
      <c r="S1098" s="182"/>
      <c r="T1098" s="186"/>
      <c r="U1098" s="186"/>
      <c r="AA1098" s="35"/>
      <c r="AB1098" s="35"/>
    </row>
    <row r="1099" spans="1:28" x14ac:dyDescent="0.2">
      <c r="A1099" s="177"/>
      <c r="B1099" s="186"/>
      <c r="C1099" s="186"/>
      <c r="D1099" s="186"/>
      <c r="E1099" s="182"/>
      <c r="F1099" s="182"/>
      <c r="G1099" s="187"/>
      <c r="H1099" s="187"/>
      <c r="I1099" s="40"/>
      <c r="J1099" s="186"/>
      <c r="K1099" s="186"/>
      <c r="L1099" s="186"/>
      <c r="M1099" s="186"/>
      <c r="N1099" s="186"/>
      <c r="O1099" s="186"/>
      <c r="P1099" s="186"/>
      <c r="Q1099" s="182"/>
      <c r="R1099" s="182"/>
      <c r="S1099" s="182"/>
      <c r="T1099" s="186"/>
      <c r="U1099" s="186"/>
      <c r="AA1099" s="35"/>
      <c r="AB1099" s="35"/>
    </row>
    <row r="1100" spans="1:28" x14ac:dyDescent="0.2">
      <c r="A1100" s="177"/>
      <c r="B1100" s="186"/>
      <c r="C1100" s="186"/>
      <c r="D1100" s="186"/>
      <c r="E1100" s="182"/>
      <c r="F1100" s="182"/>
      <c r="G1100" s="187"/>
      <c r="H1100" s="187"/>
      <c r="I1100" s="40"/>
      <c r="J1100" s="186"/>
      <c r="K1100" s="186"/>
      <c r="L1100" s="186"/>
      <c r="M1100" s="186"/>
      <c r="N1100" s="186"/>
      <c r="O1100" s="186"/>
      <c r="P1100" s="186"/>
      <c r="Q1100" s="182"/>
      <c r="R1100" s="182"/>
      <c r="S1100" s="182"/>
      <c r="T1100" s="186"/>
      <c r="U1100" s="186"/>
      <c r="AA1100" s="35"/>
      <c r="AB1100" s="35"/>
    </row>
    <row r="1101" spans="1:28" x14ac:dyDescent="0.2">
      <c r="A1101" s="177"/>
      <c r="B1101" s="186"/>
      <c r="C1101" s="186"/>
      <c r="D1101" s="186"/>
      <c r="E1101" s="182"/>
      <c r="F1101" s="182"/>
      <c r="G1101" s="187"/>
      <c r="H1101" s="187"/>
      <c r="I1101" s="40"/>
      <c r="J1101" s="186"/>
      <c r="K1101" s="186"/>
      <c r="L1101" s="186"/>
      <c r="M1101" s="186"/>
      <c r="N1101" s="186"/>
      <c r="O1101" s="186"/>
      <c r="P1101" s="186"/>
      <c r="Q1101" s="182"/>
      <c r="R1101" s="182"/>
      <c r="S1101" s="182"/>
      <c r="T1101" s="186"/>
      <c r="U1101" s="186"/>
      <c r="AA1101" s="35"/>
      <c r="AB1101" s="35"/>
    </row>
    <row r="1102" spans="1:28" x14ac:dyDescent="0.2">
      <c r="A1102" s="177"/>
      <c r="B1102" s="186"/>
      <c r="C1102" s="186"/>
      <c r="D1102" s="186"/>
      <c r="E1102" s="182"/>
      <c r="F1102" s="182"/>
      <c r="G1102" s="187"/>
      <c r="H1102" s="187"/>
      <c r="I1102" s="40"/>
      <c r="J1102" s="186"/>
      <c r="K1102" s="186"/>
      <c r="L1102" s="186"/>
      <c r="M1102" s="186"/>
      <c r="N1102" s="186"/>
      <c r="O1102" s="186"/>
      <c r="P1102" s="186"/>
      <c r="Q1102" s="182"/>
      <c r="R1102" s="182"/>
      <c r="S1102" s="182"/>
      <c r="T1102" s="186"/>
      <c r="U1102" s="186"/>
      <c r="AA1102" s="35"/>
      <c r="AB1102" s="35"/>
    </row>
    <row r="1103" spans="1:28" x14ac:dyDescent="0.2">
      <c r="A1103" s="177"/>
      <c r="B1103" s="186"/>
      <c r="C1103" s="186"/>
      <c r="D1103" s="186"/>
      <c r="E1103" s="182"/>
      <c r="F1103" s="182"/>
      <c r="G1103" s="187"/>
      <c r="H1103" s="187"/>
      <c r="I1103" s="40"/>
      <c r="J1103" s="186"/>
      <c r="K1103" s="186"/>
      <c r="L1103" s="186"/>
      <c r="M1103" s="186"/>
      <c r="N1103" s="186"/>
      <c r="O1103" s="186"/>
      <c r="P1103" s="186"/>
      <c r="Q1103" s="182"/>
      <c r="R1103" s="182"/>
      <c r="S1103" s="182"/>
      <c r="T1103" s="186"/>
      <c r="U1103" s="186"/>
      <c r="AA1103" s="35"/>
      <c r="AB1103" s="35"/>
    </row>
    <row r="1104" spans="1:28" x14ac:dyDescent="0.2">
      <c r="A1104" s="177"/>
      <c r="B1104" s="186"/>
      <c r="C1104" s="186"/>
      <c r="D1104" s="186"/>
      <c r="E1104" s="182"/>
      <c r="F1104" s="182"/>
      <c r="G1104" s="187"/>
      <c r="H1104" s="187"/>
      <c r="I1104" s="40"/>
      <c r="J1104" s="186"/>
      <c r="K1104" s="186"/>
      <c r="L1104" s="186"/>
      <c r="M1104" s="186"/>
      <c r="N1104" s="186"/>
      <c r="O1104" s="186"/>
      <c r="P1104" s="186"/>
      <c r="Q1104" s="182"/>
      <c r="R1104" s="182"/>
      <c r="S1104" s="182"/>
      <c r="T1104" s="186"/>
      <c r="U1104" s="186"/>
      <c r="AA1104" s="35"/>
      <c r="AB1104" s="35"/>
    </row>
    <row r="1105" spans="1:28" x14ac:dyDescent="0.2">
      <c r="A1105" s="177"/>
      <c r="B1105" s="186"/>
      <c r="C1105" s="186"/>
      <c r="D1105" s="186"/>
      <c r="E1105" s="182"/>
      <c r="F1105" s="182"/>
      <c r="G1105" s="187"/>
      <c r="H1105" s="187"/>
      <c r="I1105" s="40"/>
      <c r="J1105" s="186"/>
      <c r="K1105" s="186"/>
      <c r="L1105" s="186"/>
      <c r="M1105" s="186"/>
      <c r="N1105" s="186"/>
      <c r="O1105" s="186"/>
      <c r="P1105" s="186"/>
      <c r="Q1105" s="182"/>
      <c r="R1105" s="182"/>
      <c r="S1105" s="182"/>
      <c r="T1105" s="186"/>
      <c r="U1105" s="186"/>
      <c r="AA1105" s="35"/>
      <c r="AB1105" s="35"/>
    </row>
    <row r="1106" spans="1:28" x14ac:dyDescent="0.2">
      <c r="A1106" s="177"/>
      <c r="B1106" s="186"/>
      <c r="C1106" s="186"/>
      <c r="D1106" s="186"/>
      <c r="E1106" s="182"/>
      <c r="F1106" s="182"/>
      <c r="G1106" s="187"/>
      <c r="H1106" s="187"/>
      <c r="I1106" s="40"/>
      <c r="J1106" s="186"/>
      <c r="K1106" s="186"/>
      <c r="L1106" s="186"/>
      <c r="M1106" s="186"/>
      <c r="N1106" s="186"/>
      <c r="O1106" s="186"/>
      <c r="P1106" s="186"/>
      <c r="Q1106" s="182"/>
      <c r="R1106" s="182"/>
      <c r="S1106" s="182"/>
      <c r="T1106" s="186"/>
      <c r="U1106" s="186"/>
      <c r="AA1106" s="35"/>
      <c r="AB1106" s="35"/>
    </row>
    <row r="1107" spans="1:28" x14ac:dyDescent="0.2">
      <c r="A1107" s="177"/>
      <c r="B1107" s="186"/>
      <c r="C1107" s="186"/>
      <c r="D1107" s="186"/>
      <c r="E1107" s="182"/>
      <c r="F1107" s="182"/>
      <c r="G1107" s="187"/>
      <c r="H1107" s="187"/>
      <c r="I1107" s="40"/>
      <c r="J1107" s="186"/>
      <c r="K1107" s="186"/>
      <c r="L1107" s="186"/>
      <c r="M1107" s="186"/>
      <c r="N1107" s="186"/>
      <c r="O1107" s="186"/>
      <c r="P1107" s="186"/>
      <c r="Q1107" s="182"/>
      <c r="R1107" s="182"/>
      <c r="S1107" s="182"/>
      <c r="T1107" s="186"/>
      <c r="U1107" s="186"/>
      <c r="AA1107" s="35"/>
      <c r="AB1107" s="35"/>
    </row>
    <row r="1108" spans="1:28" x14ac:dyDescent="0.2">
      <c r="A1108" s="177"/>
      <c r="B1108" s="186"/>
      <c r="C1108" s="186"/>
      <c r="D1108" s="186"/>
      <c r="E1108" s="182"/>
      <c r="F1108" s="182"/>
      <c r="G1108" s="187"/>
      <c r="H1108" s="187"/>
      <c r="I1108" s="40"/>
      <c r="J1108" s="186"/>
      <c r="K1108" s="186"/>
      <c r="L1108" s="186"/>
      <c r="M1108" s="186"/>
      <c r="N1108" s="186"/>
      <c r="O1108" s="186"/>
      <c r="P1108" s="186"/>
      <c r="Q1108" s="182"/>
      <c r="R1108" s="182"/>
      <c r="S1108" s="182"/>
      <c r="T1108" s="186"/>
      <c r="U1108" s="186"/>
      <c r="AA1108" s="35"/>
      <c r="AB1108" s="35"/>
    </row>
    <row r="1109" spans="1:28" x14ac:dyDescent="0.2">
      <c r="A1109" s="177"/>
      <c r="B1109" s="186"/>
      <c r="C1109" s="186"/>
      <c r="D1109" s="186"/>
      <c r="E1109" s="182"/>
      <c r="F1109" s="182"/>
      <c r="G1109" s="187"/>
      <c r="H1109" s="187"/>
      <c r="I1109" s="40"/>
      <c r="J1109" s="186"/>
      <c r="K1109" s="186"/>
      <c r="L1109" s="186"/>
      <c r="M1109" s="186"/>
      <c r="N1109" s="186"/>
      <c r="O1109" s="186"/>
      <c r="P1109" s="186"/>
      <c r="Q1109" s="182"/>
      <c r="R1109" s="182"/>
      <c r="S1109" s="182"/>
      <c r="T1109" s="186"/>
      <c r="U1109" s="186"/>
      <c r="AA1109" s="35"/>
      <c r="AB1109" s="35"/>
    </row>
    <row r="1110" spans="1:28" x14ac:dyDescent="0.2">
      <c r="A1110" s="177"/>
      <c r="B1110" s="186"/>
      <c r="C1110" s="186"/>
      <c r="D1110" s="186"/>
      <c r="E1110" s="182"/>
      <c r="F1110" s="182"/>
      <c r="G1110" s="187"/>
      <c r="H1110" s="187"/>
      <c r="I1110" s="40"/>
      <c r="J1110" s="186"/>
      <c r="K1110" s="186"/>
      <c r="L1110" s="186"/>
      <c r="M1110" s="186"/>
      <c r="N1110" s="186"/>
      <c r="O1110" s="186"/>
      <c r="P1110" s="186"/>
      <c r="Q1110" s="182"/>
      <c r="R1110" s="182"/>
      <c r="S1110" s="182"/>
      <c r="T1110" s="186"/>
      <c r="U1110" s="186"/>
      <c r="AA1110" s="35"/>
      <c r="AB1110" s="35"/>
    </row>
    <row r="1111" spans="1:28" x14ac:dyDescent="0.2">
      <c r="A1111" s="177"/>
      <c r="B1111" s="186"/>
      <c r="C1111" s="186"/>
      <c r="D1111" s="186"/>
      <c r="E1111" s="182"/>
      <c r="F1111" s="182"/>
      <c r="G1111" s="187"/>
      <c r="H1111" s="187"/>
      <c r="I1111" s="40"/>
      <c r="J1111" s="186"/>
      <c r="K1111" s="186"/>
      <c r="L1111" s="186"/>
      <c r="M1111" s="186"/>
      <c r="N1111" s="186"/>
      <c r="O1111" s="186"/>
      <c r="P1111" s="186"/>
      <c r="Q1111" s="182"/>
      <c r="R1111" s="182"/>
      <c r="S1111" s="182"/>
      <c r="T1111" s="186"/>
      <c r="U1111" s="186"/>
      <c r="AA1111" s="35"/>
      <c r="AB1111" s="35"/>
    </row>
    <row r="1112" spans="1:28" x14ac:dyDescent="0.2">
      <c r="A1112" s="177"/>
      <c r="B1112" s="186"/>
      <c r="C1112" s="186"/>
      <c r="D1112" s="186"/>
      <c r="E1112" s="182"/>
      <c r="F1112" s="182"/>
      <c r="G1112" s="187"/>
      <c r="H1112" s="187"/>
      <c r="I1112" s="40"/>
      <c r="J1112" s="186"/>
      <c r="K1112" s="186"/>
      <c r="L1112" s="186"/>
      <c r="M1112" s="186"/>
      <c r="N1112" s="186"/>
      <c r="O1112" s="186"/>
      <c r="P1112" s="186"/>
      <c r="Q1112" s="182"/>
      <c r="R1112" s="182"/>
      <c r="S1112" s="182"/>
      <c r="T1112" s="186"/>
      <c r="U1112" s="186"/>
      <c r="AA1112" s="35"/>
      <c r="AB1112" s="35"/>
    </row>
    <row r="1113" spans="1:28" x14ac:dyDescent="0.2">
      <c r="A1113" s="177"/>
      <c r="B1113" s="186"/>
      <c r="C1113" s="186"/>
      <c r="D1113" s="186"/>
      <c r="E1113" s="182"/>
      <c r="F1113" s="182"/>
      <c r="G1113" s="187"/>
      <c r="H1113" s="187"/>
      <c r="I1113" s="40"/>
      <c r="J1113" s="186"/>
      <c r="K1113" s="186"/>
      <c r="L1113" s="186"/>
      <c r="M1113" s="186"/>
      <c r="N1113" s="186"/>
      <c r="O1113" s="186"/>
      <c r="P1113" s="186"/>
      <c r="Q1113" s="182"/>
      <c r="R1113" s="182"/>
      <c r="S1113" s="182"/>
      <c r="T1113" s="186"/>
      <c r="U1113" s="186"/>
      <c r="AA1113" s="35"/>
      <c r="AB1113" s="35"/>
    </row>
    <row r="1114" spans="1:28" x14ac:dyDescent="0.2">
      <c r="A1114" s="177"/>
      <c r="B1114" s="186"/>
      <c r="C1114" s="186"/>
      <c r="D1114" s="186"/>
      <c r="E1114" s="182"/>
      <c r="F1114" s="182"/>
      <c r="G1114" s="187"/>
      <c r="H1114" s="187"/>
      <c r="I1114" s="40"/>
      <c r="J1114" s="186"/>
      <c r="K1114" s="186"/>
      <c r="L1114" s="186"/>
      <c r="M1114" s="186"/>
      <c r="N1114" s="186"/>
      <c r="O1114" s="186"/>
      <c r="P1114" s="186"/>
      <c r="Q1114" s="182"/>
      <c r="R1114" s="182"/>
      <c r="S1114" s="182"/>
      <c r="T1114" s="186"/>
      <c r="U1114" s="186"/>
      <c r="AA1114" s="35"/>
      <c r="AB1114" s="35"/>
    </row>
    <row r="1115" spans="1:28" x14ac:dyDescent="0.2">
      <c r="A1115" s="177"/>
      <c r="B1115" s="186"/>
      <c r="C1115" s="186"/>
      <c r="D1115" s="186"/>
      <c r="E1115" s="182"/>
      <c r="F1115" s="182"/>
      <c r="G1115" s="187"/>
      <c r="H1115" s="187"/>
      <c r="I1115" s="40"/>
      <c r="J1115" s="186"/>
      <c r="K1115" s="186"/>
      <c r="L1115" s="186"/>
      <c r="M1115" s="186"/>
      <c r="N1115" s="186"/>
      <c r="O1115" s="186"/>
      <c r="P1115" s="186"/>
      <c r="Q1115" s="182"/>
      <c r="R1115" s="182"/>
      <c r="S1115" s="182"/>
      <c r="T1115" s="186"/>
      <c r="U1115" s="186"/>
      <c r="AA1115" s="35"/>
      <c r="AB1115" s="35"/>
    </row>
    <row r="1116" spans="1:28" x14ac:dyDescent="0.2">
      <c r="A1116" s="177"/>
      <c r="B1116" s="186"/>
      <c r="C1116" s="186"/>
      <c r="D1116" s="186"/>
      <c r="E1116" s="182"/>
      <c r="F1116" s="182"/>
      <c r="G1116" s="187"/>
      <c r="H1116" s="187"/>
      <c r="I1116" s="40"/>
      <c r="J1116" s="186"/>
      <c r="K1116" s="186"/>
      <c r="L1116" s="186"/>
      <c r="M1116" s="186"/>
      <c r="N1116" s="186"/>
      <c r="O1116" s="186"/>
      <c r="P1116" s="186"/>
      <c r="Q1116" s="182"/>
      <c r="R1116" s="182"/>
      <c r="S1116" s="182"/>
      <c r="T1116" s="186"/>
      <c r="U1116" s="186"/>
      <c r="AA1116" s="35"/>
      <c r="AB1116" s="35"/>
    </row>
    <row r="1117" spans="1:28" x14ac:dyDescent="0.2">
      <c r="A1117" s="177"/>
      <c r="B1117" s="186"/>
      <c r="C1117" s="186"/>
      <c r="D1117" s="186"/>
      <c r="E1117" s="182"/>
      <c r="F1117" s="182"/>
      <c r="G1117" s="187"/>
      <c r="H1117" s="187"/>
      <c r="I1117" s="40"/>
      <c r="J1117" s="186"/>
      <c r="K1117" s="186"/>
      <c r="L1117" s="186"/>
      <c r="M1117" s="186"/>
      <c r="N1117" s="186"/>
      <c r="O1117" s="186"/>
      <c r="P1117" s="186"/>
      <c r="Q1117" s="182"/>
      <c r="R1117" s="182"/>
      <c r="S1117" s="182"/>
      <c r="T1117" s="186"/>
      <c r="U1117" s="186"/>
      <c r="AA1117" s="35"/>
      <c r="AB1117" s="35"/>
    </row>
    <row r="1118" spans="1:28" x14ac:dyDescent="0.2">
      <c r="A1118" s="177"/>
      <c r="B1118" s="186"/>
      <c r="C1118" s="186"/>
      <c r="D1118" s="186"/>
      <c r="E1118" s="182"/>
      <c r="F1118" s="182"/>
      <c r="G1118" s="187"/>
      <c r="H1118" s="187"/>
      <c r="I1118" s="40"/>
      <c r="J1118" s="186"/>
      <c r="K1118" s="186"/>
      <c r="L1118" s="186"/>
      <c r="M1118" s="186"/>
      <c r="N1118" s="186"/>
      <c r="O1118" s="186"/>
      <c r="P1118" s="186"/>
      <c r="Q1118" s="182"/>
      <c r="R1118" s="182"/>
      <c r="S1118" s="182"/>
      <c r="T1118" s="186"/>
      <c r="U1118" s="186"/>
      <c r="AA1118" s="35"/>
      <c r="AB1118" s="35"/>
    </row>
    <row r="1119" spans="1:28" x14ac:dyDescent="0.2">
      <c r="A1119" s="177"/>
      <c r="B1119" s="186"/>
      <c r="C1119" s="186"/>
      <c r="D1119" s="186"/>
      <c r="E1119" s="182"/>
      <c r="F1119" s="182"/>
      <c r="G1119" s="187"/>
      <c r="H1119" s="187"/>
      <c r="I1119" s="40"/>
      <c r="J1119" s="186"/>
      <c r="K1119" s="186"/>
      <c r="L1119" s="186"/>
      <c r="M1119" s="186"/>
      <c r="N1119" s="186"/>
      <c r="O1119" s="186"/>
      <c r="P1119" s="186"/>
      <c r="Q1119" s="182"/>
      <c r="R1119" s="182"/>
      <c r="S1119" s="182"/>
      <c r="T1119" s="186"/>
      <c r="U1119" s="186"/>
      <c r="AA1119" s="35"/>
      <c r="AB1119" s="35"/>
    </row>
    <row r="1120" spans="1:28" x14ac:dyDescent="0.2">
      <c r="A1120" s="177"/>
      <c r="B1120" s="186"/>
      <c r="C1120" s="186"/>
      <c r="D1120" s="186"/>
      <c r="E1120" s="182"/>
      <c r="F1120" s="182"/>
      <c r="G1120" s="187"/>
      <c r="H1120" s="187"/>
      <c r="I1120" s="40"/>
      <c r="J1120" s="186"/>
      <c r="K1120" s="186"/>
      <c r="L1120" s="186"/>
      <c r="M1120" s="186"/>
      <c r="N1120" s="186"/>
      <c r="O1120" s="186"/>
      <c r="P1120" s="186"/>
      <c r="Q1120" s="182"/>
      <c r="R1120" s="182"/>
      <c r="S1120" s="182"/>
      <c r="T1120" s="186"/>
      <c r="U1120" s="186"/>
      <c r="AA1120" s="35"/>
      <c r="AB1120" s="35"/>
    </row>
    <row r="1121" spans="1:28" x14ac:dyDescent="0.2">
      <c r="A1121" s="177"/>
      <c r="B1121" s="186"/>
      <c r="C1121" s="186"/>
      <c r="D1121" s="186"/>
      <c r="E1121" s="182"/>
      <c r="F1121" s="182"/>
      <c r="G1121" s="187"/>
      <c r="H1121" s="187"/>
      <c r="I1121" s="40"/>
      <c r="J1121" s="186"/>
      <c r="K1121" s="186"/>
      <c r="L1121" s="186"/>
      <c r="M1121" s="186"/>
      <c r="N1121" s="186"/>
      <c r="O1121" s="186"/>
      <c r="P1121" s="186"/>
      <c r="Q1121" s="182"/>
      <c r="R1121" s="182"/>
      <c r="S1121" s="182"/>
      <c r="T1121" s="186"/>
      <c r="U1121" s="186"/>
      <c r="AA1121" s="35"/>
      <c r="AB1121" s="35"/>
    </row>
    <row r="1122" spans="1:28" x14ac:dyDescent="0.2">
      <c r="A1122" s="177"/>
      <c r="B1122" s="186"/>
      <c r="C1122" s="186"/>
      <c r="D1122" s="186"/>
      <c r="E1122" s="182"/>
      <c r="F1122" s="182"/>
      <c r="G1122" s="187"/>
      <c r="H1122" s="187"/>
      <c r="I1122" s="40"/>
      <c r="J1122" s="186"/>
      <c r="K1122" s="186"/>
      <c r="L1122" s="186"/>
      <c r="M1122" s="186"/>
      <c r="N1122" s="186"/>
      <c r="O1122" s="186"/>
      <c r="P1122" s="186"/>
      <c r="Q1122" s="182"/>
      <c r="R1122" s="182"/>
      <c r="S1122" s="182"/>
      <c r="T1122" s="186"/>
      <c r="U1122" s="186"/>
      <c r="AA1122" s="35"/>
      <c r="AB1122" s="35"/>
    </row>
    <row r="1123" spans="1:28" x14ac:dyDescent="0.2">
      <c r="A1123" s="177"/>
      <c r="B1123" s="186"/>
      <c r="C1123" s="186"/>
      <c r="D1123" s="186"/>
      <c r="E1123" s="182"/>
      <c r="F1123" s="182"/>
      <c r="G1123" s="187"/>
      <c r="H1123" s="187"/>
      <c r="I1123" s="40"/>
      <c r="J1123" s="186"/>
      <c r="K1123" s="186"/>
      <c r="L1123" s="186"/>
      <c r="M1123" s="186"/>
      <c r="N1123" s="186"/>
      <c r="O1123" s="186"/>
      <c r="P1123" s="186"/>
      <c r="Q1123" s="182"/>
      <c r="R1123" s="182"/>
      <c r="S1123" s="182"/>
      <c r="T1123" s="186"/>
      <c r="U1123" s="186"/>
      <c r="AA1123" s="35"/>
      <c r="AB1123" s="35"/>
    </row>
    <row r="1124" spans="1:28" x14ac:dyDescent="0.2">
      <c r="A1124" s="177"/>
      <c r="B1124" s="186"/>
      <c r="C1124" s="186"/>
      <c r="D1124" s="186"/>
      <c r="E1124" s="182"/>
      <c r="F1124" s="182"/>
      <c r="G1124" s="187"/>
      <c r="H1124" s="187"/>
      <c r="I1124" s="40"/>
      <c r="J1124" s="186"/>
      <c r="K1124" s="186"/>
      <c r="L1124" s="186"/>
      <c r="M1124" s="186"/>
      <c r="N1124" s="186"/>
      <c r="O1124" s="186"/>
      <c r="P1124" s="186"/>
      <c r="Q1124" s="182"/>
      <c r="R1124" s="182"/>
      <c r="S1124" s="182"/>
      <c r="T1124" s="186"/>
      <c r="U1124" s="186"/>
      <c r="AA1124" s="35"/>
      <c r="AB1124" s="35"/>
    </row>
    <row r="1125" spans="1:28" x14ac:dyDescent="0.2">
      <c r="A1125" s="177"/>
      <c r="B1125" s="186"/>
      <c r="C1125" s="186"/>
      <c r="D1125" s="186"/>
      <c r="E1125" s="182"/>
      <c r="F1125" s="182"/>
      <c r="G1125" s="187"/>
      <c r="H1125" s="187"/>
      <c r="I1125" s="40"/>
      <c r="J1125" s="186"/>
      <c r="K1125" s="186"/>
      <c r="L1125" s="186"/>
      <c r="M1125" s="186"/>
      <c r="N1125" s="186"/>
      <c r="O1125" s="186"/>
      <c r="P1125" s="186"/>
      <c r="Q1125" s="182"/>
      <c r="R1125" s="182"/>
      <c r="S1125" s="182"/>
      <c r="T1125" s="186"/>
      <c r="U1125" s="186"/>
      <c r="AA1125" s="35"/>
      <c r="AB1125" s="35"/>
    </row>
    <row r="1126" spans="1:28" x14ac:dyDescent="0.2">
      <c r="A1126" s="177"/>
      <c r="B1126" s="186"/>
      <c r="C1126" s="186"/>
      <c r="D1126" s="186"/>
      <c r="E1126" s="182"/>
      <c r="F1126" s="182"/>
      <c r="G1126" s="187"/>
      <c r="H1126" s="187"/>
      <c r="I1126" s="40"/>
      <c r="J1126" s="186"/>
      <c r="K1126" s="186"/>
      <c r="L1126" s="186"/>
      <c r="M1126" s="186"/>
      <c r="N1126" s="186"/>
      <c r="O1126" s="186"/>
      <c r="P1126" s="186"/>
      <c r="Q1126" s="182"/>
      <c r="R1126" s="182"/>
      <c r="S1126" s="182"/>
      <c r="T1126" s="186"/>
      <c r="U1126" s="186"/>
      <c r="AA1126" s="35"/>
      <c r="AB1126" s="35"/>
    </row>
    <row r="1127" spans="1:28" x14ac:dyDescent="0.2">
      <c r="A1127" s="177"/>
      <c r="B1127" s="186"/>
      <c r="C1127" s="186"/>
      <c r="D1127" s="186"/>
      <c r="E1127" s="182"/>
      <c r="F1127" s="182"/>
      <c r="G1127" s="187"/>
      <c r="H1127" s="187"/>
      <c r="I1127" s="40"/>
      <c r="J1127" s="186"/>
      <c r="K1127" s="186"/>
      <c r="L1127" s="186"/>
      <c r="M1127" s="186"/>
      <c r="N1127" s="186"/>
      <c r="O1127" s="186"/>
      <c r="P1127" s="186"/>
      <c r="Q1127" s="182"/>
      <c r="R1127" s="182"/>
      <c r="S1127" s="182"/>
      <c r="T1127" s="186"/>
      <c r="U1127" s="186"/>
      <c r="AA1127" s="35"/>
      <c r="AB1127" s="35"/>
    </row>
    <row r="1128" spans="1:28" x14ac:dyDescent="0.2">
      <c r="A1128" s="177"/>
      <c r="B1128" s="186"/>
      <c r="C1128" s="186"/>
      <c r="D1128" s="186"/>
      <c r="E1128" s="182"/>
      <c r="F1128" s="182"/>
      <c r="G1128" s="187"/>
      <c r="H1128" s="187"/>
      <c r="I1128" s="40"/>
      <c r="J1128" s="186"/>
      <c r="K1128" s="186"/>
      <c r="L1128" s="186"/>
      <c r="M1128" s="186"/>
      <c r="N1128" s="186"/>
      <c r="O1128" s="186"/>
      <c r="P1128" s="186"/>
      <c r="Q1128" s="182"/>
      <c r="R1128" s="182"/>
      <c r="S1128" s="182"/>
      <c r="T1128" s="186"/>
      <c r="U1128" s="186"/>
      <c r="AA1128" s="35"/>
      <c r="AB1128" s="35"/>
    </row>
    <row r="1129" spans="1:28" x14ac:dyDescent="0.2">
      <c r="A1129" s="177"/>
      <c r="B1129" s="186"/>
      <c r="C1129" s="186"/>
      <c r="D1129" s="186"/>
      <c r="E1129" s="182"/>
      <c r="F1129" s="182"/>
      <c r="G1129" s="187"/>
      <c r="H1129" s="187"/>
      <c r="I1129" s="40"/>
      <c r="J1129" s="186"/>
      <c r="K1129" s="186"/>
      <c r="L1129" s="186"/>
      <c r="M1129" s="186"/>
      <c r="N1129" s="186"/>
      <c r="O1129" s="186"/>
      <c r="P1129" s="186"/>
      <c r="Q1129" s="182"/>
      <c r="R1129" s="182"/>
      <c r="S1129" s="182"/>
      <c r="T1129" s="186"/>
      <c r="U1129" s="186"/>
      <c r="AA1129" s="35"/>
      <c r="AB1129" s="35"/>
    </row>
    <row r="1130" spans="1:28" x14ac:dyDescent="0.2">
      <c r="A1130" s="177"/>
      <c r="B1130" s="186"/>
      <c r="C1130" s="186"/>
      <c r="D1130" s="186"/>
      <c r="E1130" s="182"/>
      <c r="F1130" s="182"/>
      <c r="G1130" s="187"/>
      <c r="H1130" s="187"/>
      <c r="I1130" s="40"/>
      <c r="J1130" s="186"/>
      <c r="K1130" s="186"/>
      <c r="L1130" s="186"/>
      <c r="M1130" s="186"/>
      <c r="N1130" s="186"/>
      <c r="O1130" s="186"/>
      <c r="P1130" s="186"/>
      <c r="Q1130" s="182"/>
      <c r="R1130" s="182"/>
      <c r="S1130" s="182"/>
      <c r="T1130" s="186"/>
      <c r="U1130" s="186"/>
      <c r="AA1130" s="35"/>
      <c r="AB1130" s="35"/>
    </row>
    <row r="1131" spans="1:28" x14ac:dyDescent="0.2">
      <c r="A1131" s="177"/>
      <c r="B1131" s="186"/>
      <c r="C1131" s="186"/>
      <c r="D1131" s="186"/>
      <c r="E1131" s="182"/>
      <c r="F1131" s="182"/>
      <c r="G1131" s="187"/>
      <c r="H1131" s="187"/>
      <c r="I1131" s="40"/>
      <c r="J1131" s="186"/>
      <c r="K1131" s="186"/>
      <c r="L1131" s="186"/>
      <c r="M1131" s="186"/>
      <c r="N1131" s="186"/>
      <c r="O1131" s="186"/>
      <c r="P1131" s="186"/>
      <c r="Q1131" s="182"/>
      <c r="R1131" s="182"/>
      <c r="S1131" s="182"/>
      <c r="T1131" s="186"/>
      <c r="U1131" s="186"/>
      <c r="AA1131" s="35"/>
      <c r="AB1131" s="35"/>
    </row>
    <row r="1132" spans="1:28" x14ac:dyDescent="0.2">
      <c r="A1132" s="177"/>
      <c r="B1132" s="186"/>
      <c r="C1132" s="186"/>
      <c r="D1132" s="186"/>
      <c r="E1132" s="182"/>
      <c r="F1132" s="182"/>
      <c r="G1132" s="187"/>
      <c r="H1132" s="187"/>
      <c r="I1132" s="40"/>
      <c r="J1132" s="186"/>
      <c r="K1132" s="186"/>
      <c r="L1132" s="186"/>
      <c r="M1132" s="186"/>
      <c r="N1132" s="186"/>
      <c r="O1132" s="186"/>
      <c r="P1132" s="186"/>
      <c r="Q1132" s="182"/>
      <c r="R1132" s="182"/>
      <c r="S1132" s="182"/>
      <c r="T1132" s="186"/>
      <c r="U1132" s="186"/>
      <c r="AA1132" s="35"/>
      <c r="AB1132" s="35"/>
    </row>
    <row r="1133" spans="1:28" x14ac:dyDescent="0.2">
      <c r="A1133" s="177"/>
      <c r="B1133" s="186"/>
      <c r="C1133" s="186"/>
      <c r="D1133" s="186"/>
      <c r="E1133" s="182"/>
      <c r="F1133" s="182"/>
      <c r="G1133" s="187"/>
      <c r="H1133" s="187"/>
      <c r="I1133" s="40"/>
      <c r="J1133" s="186"/>
      <c r="K1133" s="186"/>
      <c r="L1133" s="186"/>
      <c r="M1133" s="186"/>
      <c r="N1133" s="186"/>
      <c r="O1133" s="186"/>
      <c r="P1133" s="186"/>
      <c r="Q1133" s="182"/>
      <c r="R1133" s="182"/>
      <c r="S1133" s="182"/>
      <c r="T1133" s="186"/>
      <c r="U1133" s="186"/>
      <c r="AA1133" s="35"/>
      <c r="AB1133" s="35"/>
    </row>
    <row r="1134" spans="1:28" x14ac:dyDescent="0.2">
      <c r="A1134" s="177"/>
      <c r="B1134" s="186"/>
      <c r="C1134" s="186"/>
      <c r="D1134" s="186"/>
      <c r="E1134" s="182"/>
      <c r="F1134" s="182"/>
      <c r="G1134" s="187"/>
      <c r="H1134" s="187"/>
      <c r="I1134" s="40"/>
      <c r="J1134" s="186"/>
      <c r="K1134" s="186"/>
      <c r="L1134" s="186"/>
      <c r="M1134" s="186"/>
      <c r="N1134" s="186"/>
      <c r="O1134" s="186"/>
      <c r="P1134" s="186"/>
      <c r="Q1134" s="182"/>
      <c r="R1134" s="182"/>
      <c r="S1134" s="182"/>
      <c r="T1134" s="186"/>
      <c r="U1134" s="186"/>
      <c r="AA1134" s="35"/>
      <c r="AB1134" s="35"/>
    </row>
    <row r="1135" spans="1:28" x14ac:dyDescent="0.2">
      <c r="A1135" s="177"/>
      <c r="B1135" s="186"/>
      <c r="C1135" s="186"/>
      <c r="D1135" s="186"/>
      <c r="E1135" s="182"/>
      <c r="F1135" s="182"/>
      <c r="G1135" s="187"/>
      <c r="H1135" s="187"/>
      <c r="I1135" s="40"/>
      <c r="J1135" s="186"/>
      <c r="K1135" s="186"/>
      <c r="L1135" s="186"/>
      <c r="M1135" s="186"/>
      <c r="N1135" s="186"/>
      <c r="O1135" s="186"/>
      <c r="P1135" s="186"/>
      <c r="Q1135" s="182"/>
      <c r="R1135" s="182"/>
      <c r="S1135" s="182"/>
      <c r="T1135" s="186"/>
      <c r="U1135" s="186"/>
      <c r="AA1135" s="35"/>
      <c r="AB1135" s="35"/>
    </row>
    <row r="1136" spans="1:28" x14ac:dyDescent="0.2">
      <c r="A1136" s="177"/>
      <c r="B1136" s="186"/>
      <c r="C1136" s="186"/>
      <c r="D1136" s="186"/>
      <c r="E1136" s="182"/>
      <c r="F1136" s="182"/>
      <c r="G1136" s="187"/>
      <c r="H1136" s="187"/>
      <c r="I1136" s="40"/>
      <c r="J1136" s="186"/>
      <c r="K1136" s="186"/>
      <c r="L1136" s="186"/>
      <c r="M1136" s="186"/>
      <c r="N1136" s="186"/>
      <c r="O1136" s="186"/>
      <c r="P1136" s="186"/>
      <c r="Q1136" s="182"/>
      <c r="R1136" s="182"/>
      <c r="S1136" s="182"/>
      <c r="T1136" s="186"/>
      <c r="U1136" s="186"/>
      <c r="AA1136" s="35"/>
      <c r="AB1136" s="35"/>
    </row>
    <row r="1137" spans="1:28" x14ac:dyDescent="0.2">
      <c r="A1137" s="177"/>
      <c r="B1137" s="186"/>
      <c r="C1137" s="186"/>
      <c r="D1137" s="186"/>
      <c r="E1137" s="182"/>
      <c r="F1137" s="182"/>
      <c r="G1137" s="187"/>
      <c r="H1137" s="187"/>
      <c r="I1137" s="40"/>
      <c r="J1137" s="186"/>
      <c r="K1137" s="186"/>
      <c r="L1137" s="186"/>
      <c r="M1137" s="186"/>
      <c r="N1137" s="186"/>
      <c r="O1137" s="186"/>
      <c r="P1137" s="186"/>
      <c r="Q1137" s="182"/>
      <c r="R1137" s="182"/>
      <c r="S1137" s="182"/>
      <c r="T1137" s="186"/>
      <c r="U1137" s="186"/>
      <c r="AA1137" s="35"/>
      <c r="AB1137" s="35"/>
    </row>
    <row r="1138" spans="1:28" x14ac:dyDescent="0.2">
      <c r="A1138" s="177"/>
      <c r="B1138" s="186"/>
      <c r="C1138" s="186"/>
      <c r="D1138" s="186"/>
      <c r="E1138" s="182"/>
      <c r="F1138" s="182"/>
      <c r="G1138" s="187"/>
      <c r="H1138" s="187"/>
      <c r="I1138" s="40"/>
      <c r="J1138" s="186"/>
      <c r="K1138" s="186"/>
      <c r="L1138" s="186"/>
      <c r="M1138" s="186"/>
      <c r="N1138" s="186"/>
      <c r="O1138" s="186"/>
      <c r="P1138" s="186"/>
      <c r="Q1138" s="182"/>
      <c r="R1138" s="182"/>
      <c r="S1138" s="182"/>
      <c r="T1138" s="186"/>
      <c r="U1138" s="186"/>
      <c r="AA1138" s="35"/>
      <c r="AB1138" s="35"/>
    </row>
    <row r="1139" spans="1:28" x14ac:dyDescent="0.2">
      <c r="A1139" s="177"/>
      <c r="B1139" s="186"/>
      <c r="C1139" s="186"/>
      <c r="D1139" s="186"/>
      <c r="E1139" s="182"/>
      <c r="F1139" s="182"/>
      <c r="G1139" s="187"/>
      <c r="H1139" s="187"/>
      <c r="I1139" s="40"/>
      <c r="J1139" s="186"/>
      <c r="K1139" s="186"/>
      <c r="L1139" s="186"/>
      <c r="M1139" s="186"/>
      <c r="N1139" s="186"/>
      <c r="O1139" s="186"/>
      <c r="P1139" s="186"/>
      <c r="Q1139" s="182"/>
      <c r="R1139" s="182"/>
      <c r="S1139" s="182"/>
      <c r="T1139" s="186"/>
      <c r="U1139" s="186"/>
      <c r="AA1139" s="35"/>
      <c r="AB1139" s="35"/>
    </row>
    <row r="1140" spans="1:28" x14ac:dyDescent="0.2">
      <c r="A1140" s="177"/>
      <c r="B1140" s="186"/>
      <c r="C1140" s="186"/>
      <c r="D1140" s="186"/>
      <c r="E1140" s="182"/>
      <c r="F1140" s="182"/>
      <c r="G1140" s="187"/>
      <c r="H1140" s="187"/>
      <c r="I1140" s="40"/>
      <c r="J1140" s="186"/>
      <c r="K1140" s="186"/>
      <c r="L1140" s="186"/>
      <c r="M1140" s="186"/>
      <c r="N1140" s="186"/>
      <c r="O1140" s="186"/>
      <c r="P1140" s="186"/>
      <c r="Q1140" s="182"/>
      <c r="R1140" s="182"/>
      <c r="S1140" s="182"/>
      <c r="T1140" s="186"/>
      <c r="U1140" s="186"/>
      <c r="AA1140" s="35"/>
      <c r="AB1140" s="35"/>
    </row>
    <row r="1141" spans="1:28" x14ac:dyDescent="0.2">
      <c r="A1141" s="177"/>
      <c r="B1141" s="186"/>
      <c r="C1141" s="186"/>
      <c r="D1141" s="186"/>
      <c r="E1141" s="182"/>
      <c r="F1141" s="182"/>
      <c r="G1141" s="187"/>
      <c r="H1141" s="187"/>
      <c r="I1141" s="40"/>
      <c r="J1141" s="186"/>
      <c r="K1141" s="186"/>
      <c r="L1141" s="186"/>
      <c r="M1141" s="186"/>
      <c r="N1141" s="186"/>
      <c r="O1141" s="186"/>
      <c r="P1141" s="186"/>
      <c r="Q1141" s="182"/>
      <c r="R1141" s="182"/>
      <c r="S1141" s="182"/>
      <c r="T1141" s="186"/>
      <c r="U1141" s="186"/>
      <c r="AA1141" s="35"/>
      <c r="AB1141" s="35"/>
    </row>
    <row r="1142" spans="1:28" x14ac:dyDescent="0.2">
      <c r="A1142" s="177"/>
      <c r="B1142" s="186"/>
      <c r="C1142" s="186"/>
      <c r="D1142" s="186"/>
      <c r="E1142" s="182"/>
      <c r="F1142" s="182"/>
      <c r="G1142" s="187"/>
      <c r="H1142" s="187"/>
      <c r="I1142" s="40"/>
      <c r="J1142" s="186"/>
      <c r="K1142" s="186"/>
      <c r="L1142" s="186"/>
      <c r="M1142" s="186"/>
      <c r="N1142" s="186"/>
      <c r="O1142" s="186"/>
      <c r="P1142" s="186"/>
      <c r="Q1142" s="182"/>
      <c r="R1142" s="182"/>
      <c r="S1142" s="182"/>
      <c r="T1142" s="186"/>
      <c r="U1142" s="186"/>
      <c r="AA1142" s="35"/>
      <c r="AB1142" s="35"/>
    </row>
    <row r="1143" spans="1:28" x14ac:dyDescent="0.2">
      <c r="A1143" s="177"/>
      <c r="B1143" s="186"/>
      <c r="C1143" s="186"/>
      <c r="D1143" s="186"/>
      <c r="E1143" s="182"/>
      <c r="F1143" s="182"/>
      <c r="G1143" s="187"/>
      <c r="H1143" s="187"/>
      <c r="I1143" s="40"/>
      <c r="J1143" s="186"/>
      <c r="K1143" s="186"/>
      <c r="L1143" s="186"/>
      <c r="M1143" s="186"/>
      <c r="N1143" s="186"/>
      <c r="O1143" s="186"/>
      <c r="P1143" s="186"/>
      <c r="Q1143" s="182"/>
      <c r="R1143" s="182"/>
      <c r="S1143" s="182"/>
      <c r="T1143" s="186"/>
      <c r="U1143" s="186"/>
      <c r="AA1143" s="35"/>
      <c r="AB1143" s="35"/>
    </row>
    <row r="1144" spans="1:28" x14ac:dyDescent="0.2">
      <c r="A1144" s="177"/>
      <c r="B1144" s="186"/>
      <c r="C1144" s="186"/>
      <c r="D1144" s="186"/>
      <c r="E1144" s="182"/>
      <c r="F1144" s="182"/>
      <c r="G1144" s="187"/>
      <c r="H1144" s="187"/>
      <c r="I1144" s="40"/>
      <c r="J1144" s="186"/>
      <c r="K1144" s="186"/>
      <c r="L1144" s="186"/>
      <c r="M1144" s="186"/>
      <c r="N1144" s="186"/>
      <c r="O1144" s="186"/>
      <c r="P1144" s="186"/>
      <c r="Q1144" s="182"/>
      <c r="R1144" s="182"/>
      <c r="S1144" s="182"/>
      <c r="T1144" s="186"/>
      <c r="U1144" s="186"/>
      <c r="AA1144" s="35"/>
      <c r="AB1144" s="35"/>
    </row>
    <row r="1145" spans="1:28" x14ac:dyDescent="0.2">
      <c r="A1145" s="177"/>
      <c r="B1145" s="186"/>
      <c r="C1145" s="186"/>
      <c r="D1145" s="186"/>
      <c r="E1145" s="182"/>
      <c r="F1145" s="182"/>
      <c r="G1145" s="187"/>
      <c r="H1145" s="187"/>
      <c r="I1145" s="40"/>
      <c r="J1145" s="186"/>
      <c r="K1145" s="186"/>
      <c r="L1145" s="186"/>
      <c r="M1145" s="186"/>
      <c r="N1145" s="186"/>
      <c r="O1145" s="186"/>
      <c r="P1145" s="186"/>
      <c r="Q1145" s="182"/>
      <c r="R1145" s="182"/>
      <c r="S1145" s="182"/>
      <c r="T1145" s="186"/>
      <c r="U1145" s="186"/>
      <c r="AA1145" s="35"/>
      <c r="AB1145" s="35"/>
    </row>
    <row r="1146" spans="1:28" x14ac:dyDescent="0.2">
      <c r="A1146" s="177"/>
      <c r="B1146" s="186"/>
      <c r="C1146" s="186"/>
      <c r="D1146" s="186"/>
      <c r="E1146" s="182"/>
      <c r="F1146" s="182"/>
      <c r="G1146" s="187"/>
      <c r="H1146" s="187"/>
      <c r="I1146" s="40"/>
      <c r="J1146" s="186"/>
      <c r="K1146" s="186"/>
      <c r="L1146" s="186"/>
      <c r="M1146" s="186"/>
      <c r="N1146" s="186"/>
      <c r="O1146" s="186"/>
      <c r="P1146" s="186"/>
      <c r="Q1146" s="182"/>
      <c r="R1146" s="182"/>
      <c r="S1146" s="182"/>
      <c r="T1146" s="186"/>
      <c r="U1146" s="186"/>
      <c r="AA1146" s="35"/>
      <c r="AB1146" s="35"/>
    </row>
    <row r="1147" spans="1:28" x14ac:dyDescent="0.2">
      <c r="A1147" s="177"/>
      <c r="B1147" s="186"/>
      <c r="C1147" s="186"/>
      <c r="D1147" s="186"/>
      <c r="E1147" s="182"/>
      <c r="F1147" s="182"/>
      <c r="G1147" s="187"/>
      <c r="H1147" s="187"/>
      <c r="I1147" s="40"/>
      <c r="J1147" s="186"/>
      <c r="K1147" s="186"/>
      <c r="L1147" s="186"/>
      <c r="M1147" s="186"/>
      <c r="N1147" s="186"/>
      <c r="O1147" s="186"/>
      <c r="P1147" s="186"/>
      <c r="Q1147" s="182"/>
      <c r="R1147" s="182"/>
      <c r="S1147" s="182"/>
      <c r="T1147" s="186"/>
      <c r="U1147" s="186"/>
      <c r="AA1147" s="35"/>
      <c r="AB1147" s="35"/>
    </row>
    <row r="1148" spans="1:28" x14ac:dyDescent="0.2">
      <c r="A1148" s="177"/>
      <c r="B1148" s="186"/>
      <c r="C1148" s="186"/>
      <c r="D1148" s="186"/>
      <c r="E1148" s="182"/>
      <c r="F1148" s="182"/>
      <c r="G1148" s="187"/>
      <c r="H1148" s="187"/>
      <c r="I1148" s="40"/>
      <c r="J1148" s="186"/>
      <c r="K1148" s="186"/>
      <c r="L1148" s="186"/>
      <c r="M1148" s="186"/>
      <c r="N1148" s="186"/>
      <c r="O1148" s="186"/>
      <c r="P1148" s="186"/>
      <c r="Q1148" s="182"/>
      <c r="R1148" s="182"/>
      <c r="S1148" s="182"/>
      <c r="T1148" s="186"/>
      <c r="U1148" s="186"/>
      <c r="AA1148" s="35"/>
      <c r="AB1148" s="35"/>
    </row>
    <row r="1149" spans="1:28" x14ac:dyDescent="0.2">
      <c r="A1149" s="177"/>
      <c r="B1149" s="186"/>
      <c r="C1149" s="186"/>
      <c r="D1149" s="186"/>
      <c r="E1149" s="182"/>
      <c r="F1149" s="182"/>
      <c r="G1149" s="187"/>
      <c r="H1149" s="187"/>
      <c r="I1149" s="40"/>
      <c r="J1149" s="186"/>
      <c r="K1149" s="186"/>
      <c r="L1149" s="186"/>
      <c r="M1149" s="186"/>
      <c r="N1149" s="186"/>
      <c r="O1149" s="186"/>
      <c r="P1149" s="186"/>
      <c r="Q1149" s="182"/>
      <c r="R1149" s="182"/>
      <c r="S1149" s="182"/>
      <c r="T1149" s="186"/>
      <c r="U1149" s="186"/>
      <c r="AA1149" s="35"/>
      <c r="AB1149" s="35"/>
    </row>
    <row r="1150" spans="1:28" x14ac:dyDescent="0.2">
      <c r="A1150" s="177"/>
      <c r="B1150" s="186"/>
      <c r="C1150" s="186"/>
      <c r="D1150" s="186"/>
      <c r="E1150" s="182"/>
      <c r="F1150" s="182"/>
      <c r="G1150" s="187"/>
      <c r="H1150" s="187"/>
      <c r="I1150" s="40"/>
      <c r="J1150" s="186"/>
      <c r="K1150" s="186"/>
      <c r="L1150" s="186"/>
      <c r="M1150" s="186"/>
      <c r="N1150" s="186"/>
      <c r="O1150" s="186"/>
      <c r="P1150" s="186"/>
      <c r="Q1150" s="182"/>
      <c r="R1150" s="182"/>
      <c r="S1150" s="182"/>
      <c r="T1150" s="186"/>
      <c r="U1150" s="186"/>
      <c r="AA1150" s="35"/>
      <c r="AB1150" s="35"/>
    </row>
    <row r="1151" spans="1:28" x14ac:dyDescent="0.2">
      <c r="A1151" s="177"/>
      <c r="B1151" s="186"/>
      <c r="C1151" s="186"/>
      <c r="D1151" s="186"/>
      <c r="E1151" s="182"/>
      <c r="F1151" s="182"/>
      <c r="G1151" s="187"/>
      <c r="H1151" s="187"/>
      <c r="I1151" s="40"/>
      <c r="J1151" s="186"/>
      <c r="K1151" s="186"/>
      <c r="L1151" s="186"/>
      <c r="M1151" s="186"/>
      <c r="N1151" s="186"/>
      <c r="O1151" s="186"/>
      <c r="P1151" s="186"/>
      <c r="Q1151" s="182"/>
      <c r="R1151" s="182"/>
      <c r="S1151" s="182"/>
      <c r="T1151" s="186"/>
      <c r="U1151" s="186"/>
      <c r="AA1151" s="35"/>
      <c r="AB1151" s="35"/>
    </row>
    <row r="1152" spans="1:28" x14ac:dyDescent="0.2">
      <c r="A1152" s="177"/>
      <c r="B1152" s="186"/>
      <c r="C1152" s="186"/>
      <c r="D1152" s="186"/>
      <c r="E1152" s="182"/>
      <c r="F1152" s="182"/>
      <c r="G1152" s="187"/>
      <c r="H1152" s="187"/>
      <c r="I1152" s="40"/>
      <c r="J1152" s="186"/>
      <c r="K1152" s="186"/>
      <c r="L1152" s="186"/>
      <c r="M1152" s="186"/>
      <c r="N1152" s="186"/>
      <c r="O1152" s="186"/>
      <c r="P1152" s="186"/>
      <c r="Q1152" s="182"/>
      <c r="R1152" s="182"/>
      <c r="S1152" s="182"/>
      <c r="T1152" s="186"/>
      <c r="U1152" s="186"/>
      <c r="AA1152" s="35"/>
      <c r="AB1152" s="35"/>
    </row>
    <row r="1153" spans="1:28" x14ac:dyDescent="0.2">
      <c r="A1153" s="177"/>
      <c r="B1153" s="186"/>
      <c r="C1153" s="186"/>
      <c r="D1153" s="186"/>
      <c r="E1153" s="182"/>
      <c r="F1153" s="182"/>
      <c r="G1153" s="187"/>
      <c r="H1153" s="187"/>
      <c r="I1153" s="40"/>
      <c r="J1153" s="186"/>
      <c r="K1153" s="186"/>
      <c r="L1153" s="186"/>
      <c r="M1153" s="186"/>
      <c r="N1153" s="186"/>
      <c r="O1153" s="186"/>
      <c r="P1153" s="186"/>
      <c r="Q1153" s="182"/>
      <c r="R1153" s="182"/>
      <c r="S1153" s="182"/>
      <c r="T1153" s="186"/>
      <c r="U1153" s="186"/>
      <c r="AA1153" s="35"/>
      <c r="AB1153" s="35"/>
    </row>
    <row r="1154" spans="1:28" x14ac:dyDescent="0.2">
      <c r="A1154" s="177"/>
      <c r="B1154" s="186"/>
      <c r="C1154" s="186"/>
      <c r="D1154" s="186"/>
      <c r="E1154" s="182"/>
      <c r="F1154" s="182"/>
      <c r="G1154" s="187"/>
      <c r="H1154" s="187"/>
      <c r="I1154" s="40"/>
      <c r="J1154" s="186"/>
      <c r="K1154" s="186"/>
      <c r="L1154" s="186"/>
      <c r="M1154" s="186"/>
      <c r="N1154" s="186"/>
      <c r="O1154" s="186"/>
      <c r="P1154" s="186"/>
      <c r="Q1154" s="182"/>
      <c r="R1154" s="182"/>
      <c r="S1154" s="182"/>
      <c r="T1154" s="186"/>
      <c r="U1154" s="186"/>
      <c r="AA1154" s="35"/>
      <c r="AB1154" s="35"/>
    </row>
    <row r="1155" spans="1:28" x14ac:dyDescent="0.2">
      <c r="A1155" s="177"/>
      <c r="B1155" s="186"/>
      <c r="C1155" s="186"/>
      <c r="D1155" s="186"/>
      <c r="E1155" s="182"/>
      <c r="F1155" s="182"/>
      <c r="G1155" s="187"/>
      <c r="H1155" s="187"/>
      <c r="I1155" s="40"/>
      <c r="J1155" s="186"/>
      <c r="K1155" s="186"/>
      <c r="L1155" s="186"/>
      <c r="M1155" s="186"/>
      <c r="N1155" s="186"/>
      <c r="O1155" s="186"/>
      <c r="P1155" s="186"/>
      <c r="Q1155" s="182"/>
      <c r="R1155" s="182"/>
      <c r="S1155" s="182"/>
      <c r="T1155" s="186"/>
      <c r="U1155" s="186"/>
      <c r="AA1155" s="35"/>
      <c r="AB1155" s="35"/>
    </row>
    <row r="1156" spans="1:28" x14ac:dyDescent="0.2">
      <c r="A1156" s="177"/>
      <c r="B1156" s="186"/>
      <c r="C1156" s="186"/>
      <c r="D1156" s="186"/>
      <c r="E1156" s="182"/>
      <c r="F1156" s="182"/>
      <c r="G1156" s="187"/>
      <c r="H1156" s="187"/>
      <c r="I1156" s="40"/>
      <c r="J1156" s="186"/>
      <c r="K1156" s="186"/>
      <c r="L1156" s="186"/>
      <c r="M1156" s="186"/>
      <c r="N1156" s="186"/>
      <c r="O1156" s="186"/>
      <c r="P1156" s="186"/>
      <c r="Q1156" s="182"/>
      <c r="R1156" s="182"/>
      <c r="S1156" s="182"/>
      <c r="T1156" s="186"/>
      <c r="U1156" s="186"/>
      <c r="AA1156" s="35"/>
      <c r="AB1156" s="35"/>
    </row>
    <row r="1157" spans="1:28" x14ac:dyDescent="0.2">
      <c r="A1157" s="177"/>
      <c r="B1157" s="186"/>
      <c r="C1157" s="186"/>
      <c r="D1157" s="186"/>
      <c r="E1157" s="182"/>
      <c r="F1157" s="182"/>
      <c r="G1157" s="187"/>
      <c r="H1157" s="187"/>
      <c r="I1157" s="40"/>
      <c r="J1157" s="186"/>
      <c r="K1157" s="186"/>
      <c r="L1157" s="186"/>
      <c r="M1157" s="186"/>
      <c r="N1157" s="186"/>
      <c r="O1157" s="186"/>
      <c r="P1157" s="186"/>
      <c r="Q1157" s="182"/>
      <c r="R1157" s="182"/>
      <c r="S1157" s="182"/>
      <c r="T1157" s="186"/>
      <c r="U1157" s="186"/>
      <c r="AA1157" s="35"/>
      <c r="AB1157" s="35"/>
    </row>
    <row r="1158" spans="1:28" x14ac:dyDescent="0.2">
      <c r="A1158" s="177"/>
      <c r="B1158" s="186"/>
      <c r="C1158" s="186"/>
      <c r="D1158" s="186"/>
      <c r="E1158" s="182"/>
      <c r="F1158" s="182"/>
      <c r="G1158" s="187"/>
      <c r="H1158" s="187"/>
      <c r="I1158" s="40"/>
      <c r="J1158" s="186"/>
      <c r="K1158" s="186"/>
      <c r="L1158" s="186"/>
      <c r="M1158" s="186"/>
      <c r="N1158" s="186"/>
      <c r="O1158" s="186"/>
      <c r="P1158" s="186"/>
      <c r="Q1158" s="182"/>
      <c r="R1158" s="182"/>
      <c r="S1158" s="182"/>
      <c r="T1158" s="186"/>
      <c r="U1158" s="186"/>
      <c r="AA1158" s="35"/>
      <c r="AB1158" s="35"/>
    </row>
    <row r="1159" spans="1:28" x14ac:dyDescent="0.2">
      <c r="A1159" s="177"/>
      <c r="B1159" s="186"/>
      <c r="C1159" s="186"/>
      <c r="D1159" s="186"/>
      <c r="E1159" s="182"/>
      <c r="F1159" s="182"/>
      <c r="G1159" s="187"/>
      <c r="H1159" s="187"/>
      <c r="I1159" s="40"/>
      <c r="J1159" s="186"/>
      <c r="K1159" s="186"/>
      <c r="L1159" s="186"/>
      <c r="M1159" s="186"/>
      <c r="N1159" s="186"/>
      <c r="O1159" s="186"/>
      <c r="P1159" s="186"/>
      <c r="Q1159" s="182"/>
      <c r="R1159" s="182"/>
      <c r="S1159" s="182"/>
      <c r="T1159" s="186"/>
      <c r="U1159" s="186"/>
      <c r="AA1159" s="35"/>
      <c r="AB1159" s="35"/>
    </row>
    <row r="1160" spans="1:28" x14ac:dyDescent="0.2">
      <c r="A1160" s="177"/>
      <c r="B1160" s="186"/>
      <c r="C1160" s="186"/>
      <c r="D1160" s="186"/>
      <c r="E1160" s="182"/>
      <c r="F1160" s="182"/>
      <c r="G1160" s="187"/>
      <c r="H1160" s="187"/>
      <c r="I1160" s="40"/>
      <c r="J1160" s="186"/>
      <c r="K1160" s="186"/>
      <c r="L1160" s="186"/>
      <c r="M1160" s="186"/>
      <c r="N1160" s="186"/>
      <c r="O1160" s="186"/>
      <c r="P1160" s="186"/>
      <c r="Q1160" s="182"/>
      <c r="R1160" s="182"/>
      <c r="S1160" s="182"/>
      <c r="T1160" s="186"/>
      <c r="U1160" s="186"/>
      <c r="AA1160" s="35"/>
      <c r="AB1160" s="35"/>
    </row>
    <row r="1161" spans="1:28" x14ac:dyDescent="0.2">
      <c r="A1161" s="177"/>
      <c r="B1161" s="186"/>
      <c r="C1161" s="186"/>
      <c r="D1161" s="186"/>
      <c r="E1161" s="182"/>
      <c r="F1161" s="182"/>
      <c r="G1161" s="187"/>
      <c r="H1161" s="187"/>
      <c r="I1161" s="40"/>
      <c r="J1161" s="186"/>
      <c r="K1161" s="186"/>
      <c r="L1161" s="186"/>
      <c r="M1161" s="186"/>
      <c r="N1161" s="186"/>
      <c r="O1161" s="186"/>
      <c r="P1161" s="186"/>
      <c r="Q1161" s="182"/>
      <c r="R1161" s="182"/>
      <c r="S1161" s="182"/>
      <c r="T1161" s="186"/>
      <c r="U1161" s="186"/>
      <c r="AA1161" s="35"/>
      <c r="AB1161" s="35"/>
    </row>
    <row r="1162" spans="1:28" x14ac:dyDescent="0.2">
      <c r="A1162" s="177"/>
      <c r="B1162" s="186"/>
      <c r="C1162" s="186"/>
      <c r="D1162" s="186"/>
      <c r="E1162" s="182"/>
      <c r="F1162" s="182"/>
      <c r="G1162" s="187"/>
      <c r="H1162" s="187"/>
      <c r="I1162" s="40"/>
      <c r="J1162" s="186"/>
      <c r="K1162" s="186"/>
      <c r="L1162" s="186"/>
      <c r="M1162" s="186"/>
      <c r="N1162" s="186"/>
      <c r="O1162" s="186"/>
      <c r="P1162" s="186"/>
      <c r="Q1162" s="182"/>
      <c r="R1162" s="182"/>
      <c r="S1162" s="182"/>
      <c r="T1162" s="186"/>
      <c r="U1162" s="186"/>
      <c r="AA1162" s="35"/>
      <c r="AB1162" s="35"/>
    </row>
    <row r="1163" spans="1:28" x14ac:dyDescent="0.2">
      <c r="A1163" s="177"/>
      <c r="B1163" s="186"/>
      <c r="C1163" s="186"/>
      <c r="D1163" s="186"/>
      <c r="E1163" s="182"/>
      <c r="F1163" s="182"/>
      <c r="G1163" s="187"/>
      <c r="H1163" s="187"/>
      <c r="I1163" s="40"/>
      <c r="J1163" s="186"/>
      <c r="K1163" s="186"/>
      <c r="L1163" s="186"/>
      <c r="M1163" s="186"/>
      <c r="N1163" s="186"/>
      <c r="O1163" s="186"/>
      <c r="P1163" s="186"/>
      <c r="Q1163" s="182"/>
      <c r="R1163" s="182"/>
      <c r="S1163" s="182"/>
      <c r="T1163" s="186"/>
      <c r="U1163" s="186"/>
      <c r="AA1163" s="35"/>
      <c r="AB1163" s="35"/>
    </row>
    <row r="1164" spans="1:28" x14ac:dyDescent="0.2">
      <c r="A1164" s="177"/>
      <c r="B1164" s="186"/>
      <c r="C1164" s="186"/>
      <c r="D1164" s="186"/>
      <c r="E1164" s="182"/>
      <c r="F1164" s="182"/>
      <c r="G1164" s="187"/>
      <c r="H1164" s="187"/>
      <c r="I1164" s="40"/>
      <c r="J1164" s="186"/>
      <c r="K1164" s="186"/>
      <c r="L1164" s="186"/>
      <c r="M1164" s="186"/>
      <c r="N1164" s="186"/>
      <c r="O1164" s="186"/>
      <c r="P1164" s="186"/>
      <c r="Q1164" s="182"/>
      <c r="R1164" s="182"/>
      <c r="S1164" s="182"/>
      <c r="T1164" s="186"/>
      <c r="U1164" s="186"/>
      <c r="AA1164" s="35"/>
      <c r="AB1164" s="35"/>
    </row>
    <row r="1165" spans="1:28" x14ac:dyDescent="0.2">
      <c r="A1165" s="177"/>
      <c r="B1165" s="186"/>
      <c r="C1165" s="186"/>
      <c r="D1165" s="186"/>
      <c r="E1165" s="182"/>
      <c r="F1165" s="182"/>
      <c r="G1165" s="187"/>
      <c r="H1165" s="187"/>
      <c r="I1165" s="40"/>
      <c r="J1165" s="186"/>
      <c r="K1165" s="186"/>
      <c r="L1165" s="186"/>
      <c r="M1165" s="186"/>
      <c r="N1165" s="186"/>
      <c r="O1165" s="186"/>
      <c r="P1165" s="186"/>
      <c r="Q1165" s="182"/>
      <c r="R1165" s="182"/>
      <c r="S1165" s="182"/>
      <c r="T1165" s="186"/>
      <c r="U1165" s="186"/>
      <c r="AA1165" s="35"/>
      <c r="AB1165" s="35"/>
    </row>
    <row r="1166" spans="1:28" x14ac:dyDescent="0.2">
      <c r="A1166" s="177"/>
      <c r="B1166" s="186"/>
      <c r="C1166" s="186"/>
      <c r="D1166" s="186"/>
      <c r="E1166" s="182"/>
      <c r="F1166" s="182"/>
      <c r="G1166" s="187"/>
      <c r="H1166" s="187"/>
      <c r="I1166" s="40"/>
      <c r="J1166" s="186"/>
      <c r="K1166" s="186"/>
      <c r="L1166" s="186"/>
      <c r="M1166" s="186"/>
      <c r="N1166" s="186"/>
      <c r="O1166" s="186"/>
      <c r="P1166" s="186"/>
      <c r="Q1166" s="182"/>
      <c r="R1166" s="182"/>
      <c r="S1166" s="182"/>
      <c r="T1166" s="186"/>
      <c r="U1166" s="186"/>
      <c r="AA1166" s="35"/>
      <c r="AB1166" s="35"/>
    </row>
    <row r="1167" spans="1:28" x14ac:dyDescent="0.2">
      <c r="A1167" s="177"/>
      <c r="B1167" s="186"/>
      <c r="C1167" s="186"/>
      <c r="D1167" s="186"/>
      <c r="E1167" s="182"/>
      <c r="F1167" s="182"/>
      <c r="G1167" s="187"/>
      <c r="H1167" s="187"/>
      <c r="I1167" s="40"/>
      <c r="J1167" s="186"/>
      <c r="K1167" s="186"/>
      <c r="L1167" s="186"/>
      <c r="M1167" s="186"/>
      <c r="N1167" s="186"/>
      <c r="O1167" s="186"/>
      <c r="P1167" s="186"/>
      <c r="Q1167" s="182"/>
      <c r="R1167" s="182"/>
      <c r="S1167" s="182"/>
      <c r="T1167" s="186"/>
      <c r="U1167" s="186"/>
      <c r="AA1167" s="35"/>
      <c r="AB1167" s="35"/>
    </row>
    <row r="1168" spans="1:28" x14ac:dyDescent="0.2">
      <c r="A1168" s="177"/>
      <c r="B1168" s="186"/>
      <c r="C1168" s="186"/>
      <c r="D1168" s="186"/>
      <c r="E1168" s="182"/>
      <c r="F1168" s="182"/>
      <c r="G1168" s="187"/>
      <c r="H1168" s="187"/>
      <c r="I1168" s="40"/>
      <c r="J1168" s="186"/>
      <c r="K1168" s="186"/>
      <c r="L1168" s="186"/>
      <c r="M1168" s="186"/>
      <c r="N1168" s="186"/>
      <c r="O1168" s="186"/>
      <c r="P1168" s="186"/>
      <c r="Q1168" s="182"/>
      <c r="R1168" s="182"/>
      <c r="S1168" s="182"/>
      <c r="T1168" s="186"/>
      <c r="U1168" s="186"/>
      <c r="AA1168" s="35"/>
      <c r="AB1168" s="35"/>
    </row>
    <row r="1169" spans="1:28" x14ac:dyDescent="0.2">
      <c r="A1169" s="177"/>
      <c r="B1169" s="186"/>
      <c r="C1169" s="186"/>
      <c r="D1169" s="186"/>
      <c r="E1169" s="182"/>
      <c r="F1169" s="182"/>
      <c r="G1169" s="187"/>
      <c r="H1169" s="187"/>
      <c r="I1169" s="40"/>
      <c r="J1169" s="186"/>
      <c r="K1169" s="186"/>
      <c r="L1169" s="186"/>
      <c r="M1169" s="186"/>
      <c r="N1169" s="186"/>
      <c r="O1169" s="186"/>
      <c r="P1169" s="186"/>
      <c r="Q1169" s="182"/>
      <c r="R1169" s="182"/>
      <c r="S1169" s="182"/>
      <c r="T1169" s="186"/>
      <c r="U1169" s="186"/>
      <c r="AA1169" s="35"/>
      <c r="AB1169" s="35"/>
    </row>
    <row r="1170" spans="1:28" x14ac:dyDescent="0.2">
      <c r="A1170" s="177"/>
      <c r="B1170" s="186"/>
      <c r="C1170" s="186"/>
      <c r="D1170" s="186"/>
      <c r="E1170" s="182"/>
      <c r="F1170" s="182"/>
      <c r="G1170" s="187"/>
      <c r="H1170" s="187"/>
      <c r="I1170" s="40"/>
      <c r="J1170" s="186"/>
      <c r="K1170" s="186"/>
      <c r="L1170" s="186"/>
      <c r="M1170" s="186"/>
      <c r="N1170" s="186"/>
      <c r="O1170" s="186"/>
      <c r="P1170" s="186"/>
      <c r="Q1170" s="182"/>
      <c r="R1170" s="182"/>
      <c r="S1170" s="182"/>
      <c r="T1170" s="186"/>
      <c r="U1170" s="186"/>
      <c r="AA1170" s="35"/>
      <c r="AB1170" s="35"/>
    </row>
    <row r="1171" spans="1:28" x14ac:dyDescent="0.2">
      <c r="A1171" s="177"/>
      <c r="B1171" s="186"/>
      <c r="C1171" s="186"/>
      <c r="D1171" s="186"/>
      <c r="E1171" s="182"/>
      <c r="F1171" s="182"/>
      <c r="G1171" s="187"/>
      <c r="H1171" s="187"/>
      <c r="I1171" s="40"/>
      <c r="J1171" s="186"/>
      <c r="K1171" s="186"/>
      <c r="L1171" s="186"/>
      <c r="M1171" s="186"/>
      <c r="N1171" s="186"/>
      <c r="O1171" s="186"/>
      <c r="P1171" s="186"/>
      <c r="Q1171" s="182"/>
      <c r="R1171" s="182"/>
      <c r="S1171" s="182"/>
      <c r="T1171" s="186"/>
      <c r="U1171" s="186"/>
      <c r="AA1171" s="35"/>
      <c r="AB1171" s="35"/>
    </row>
    <row r="1172" spans="1:28" x14ac:dyDescent="0.2">
      <c r="A1172" s="177"/>
      <c r="B1172" s="186"/>
      <c r="C1172" s="186"/>
      <c r="D1172" s="186"/>
      <c r="E1172" s="182"/>
      <c r="F1172" s="182"/>
      <c r="G1172" s="187"/>
      <c r="H1172" s="187"/>
      <c r="I1172" s="40"/>
      <c r="J1172" s="186"/>
      <c r="K1172" s="186"/>
      <c r="L1172" s="186"/>
      <c r="M1172" s="186"/>
      <c r="N1172" s="186"/>
      <c r="O1172" s="186"/>
      <c r="P1172" s="186"/>
      <c r="Q1172" s="182"/>
      <c r="R1172" s="182"/>
      <c r="S1172" s="182"/>
      <c r="T1172" s="186"/>
      <c r="U1172" s="186"/>
      <c r="AA1172" s="35"/>
      <c r="AB1172" s="35"/>
    </row>
    <row r="1173" spans="1:28" x14ac:dyDescent="0.2">
      <c r="B1173" s="182"/>
      <c r="C1173" s="182"/>
      <c r="D1173" s="182"/>
      <c r="E1173" s="182"/>
      <c r="F1173" s="182"/>
      <c r="I1173" s="40"/>
      <c r="J1173" s="186"/>
      <c r="K1173" s="186"/>
      <c r="L1173" s="186"/>
      <c r="M1173" s="186"/>
      <c r="N1173" s="186"/>
      <c r="O1173" s="186"/>
      <c r="P1173" s="186"/>
      <c r="Q1173" s="182"/>
      <c r="R1173" s="182"/>
      <c r="S1173" s="182"/>
      <c r="T1173" s="186"/>
      <c r="U1173" s="186"/>
      <c r="AA1173" s="35"/>
      <c r="AB1173" s="35"/>
    </row>
    <row r="1174" spans="1:28" x14ac:dyDescent="0.2">
      <c r="B1174" s="182"/>
      <c r="C1174" s="182"/>
      <c r="D1174" s="182"/>
      <c r="E1174" s="182"/>
      <c r="F1174" s="182"/>
      <c r="I1174" s="40"/>
      <c r="J1174" s="186"/>
      <c r="K1174" s="186"/>
      <c r="L1174" s="186"/>
      <c r="M1174" s="186"/>
      <c r="N1174" s="186"/>
      <c r="O1174" s="186"/>
      <c r="P1174" s="186"/>
      <c r="Q1174" s="182"/>
      <c r="R1174" s="182"/>
      <c r="S1174" s="182"/>
      <c r="T1174" s="186"/>
      <c r="U1174" s="186"/>
      <c r="AA1174" s="35"/>
      <c r="AB1174" s="35"/>
    </row>
    <row r="1175" spans="1:28" x14ac:dyDescent="0.2">
      <c r="B1175" s="182"/>
      <c r="C1175" s="182"/>
      <c r="D1175" s="182"/>
      <c r="E1175" s="182"/>
      <c r="F1175" s="182"/>
      <c r="I1175" s="40"/>
      <c r="J1175" s="186"/>
      <c r="K1175" s="186"/>
      <c r="L1175" s="186"/>
      <c r="M1175" s="186"/>
      <c r="N1175" s="186"/>
      <c r="O1175" s="186"/>
      <c r="P1175" s="186"/>
      <c r="Q1175" s="182"/>
      <c r="R1175" s="182"/>
      <c r="S1175" s="182"/>
      <c r="T1175" s="186"/>
      <c r="U1175" s="186"/>
      <c r="AA1175" s="35"/>
      <c r="AB1175" s="35"/>
    </row>
    <row r="1176" spans="1:28" x14ac:dyDescent="0.2">
      <c r="B1176" s="182"/>
      <c r="C1176" s="182"/>
      <c r="D1176" s="182"/>
      <c r="E1176" s="182"/>
      <c r="F1176" s="182"/>
      <c r="I1176" s="40"/>
      <c r="J1176" s="186"/>
      <c r="K1176" s="186"/>
      <c r="L1176" s="186"/>
      <c r="M1176" s="186"/>
      <c r="N1176" s="186"/>
      <c r="O1176" s="186"/>
      <c r="P1176" s="186"/>
      <c r="Q1176" s="182"/>
      <c r="R1176" s="182"/>
      <c r="S1176" s="182"/>
      <c r="T1176" s="186"/>
      <c r="U1176" s="186"/>
      <c r="AA1176" s="35"/>
      <c r="AB1176" s="35"/>
    </row>
    <row r="1177" spans="1:28" x14ac:dyDescent="0.2">
      <c r="B1177" s="182"/>
      <c r="C1177" s="182"/>
      <c r="D1177" s="182"/>
      <c r="E1177" s="182"/>
      <c r="F1177" s="182"/>
      <c r="I1177" s="40"/>
      <c r="J1177" s="186"/>
      <c r="K1177" s="186"/>
      <c r="L1177" s="186"/>
      <c r="M1177" s="186"/>
      <c r="N1177" s="186"/>
      <c r="O1177" s="186"/>
      <c r="P1177" s="186"/>
      <c r="Q1177" s="182"/>
      <c r="R1177" s="182"/>
      <c r="S1177" s="182"/>
      <c r="T1177" s="186"/>
      <c r="U1177" s="186"/>
      <c r="AA1177" s="35"/>
      <c r="AB1177" s="35"/>
    </row>
    <row r="1178" spans="1:28" x14ac:dyDescent="0.2">
      <c r="B1178" s="182"/>
      <c r="C1178" s="182"/>
      <c r="D1178" s="182"/>
      <c r="E1178" s="182"/>
      <c r="F1178" s="182"/>
      <c r="I1178" s="40"/>
      <c r="J1178" s="186"/>
      <c r="K1178" s="186"/>
      <c r="L1178" s="186"/>
      <c r="M1178" s="186"/>
      <c r="N1178" s="186"/>
      <c r="O1178" s="186"/>
      <c r="P1178" s="186"/>
      <c r="Q1178" s="182"/>
      <c r="R1178" s="182"/>
      <c r="S1178" s="182"/>
      <c r="T1178" s="186"/>
      <c r="U1178" s="186"/>
      <c r="AA1178" s="35"/>
      <c r="AB1178" s="35"/>
    </row>
    <row r="1179" spans="1:28" x14ac:dyDescent="0.2">
      <c r="B1179" s="182"/>
      <c r="C1179" s="182"/>
      <c r="D1179" s="182"/>
      <c r="E1179" s="182"/>
      <c r="F1179" s="182"/>
      <c r="I1179" s="40"/>
      <c r="J1179" s="186"/>
      <c r="K1179" s="186"/>
      <c r="L1179" s="186"/>
      <c r="M1179" s="186"/>
      <c r="N1179" s="186"/>
      <c r="O1179" s="186"/>
      <c r="P1179" s="186"/>
      <c r="Q1179" s="182"/>
      <c r="R1179" s="182"/>
      <c r="S1179" s="182"/>
      <c r="T1179" s="186"/>
      <c r="U1179" s="186"/>
      <c r="AA1179" s="35"/>
      <c r="AB1179" s="35"/>
    </row>
    <row r="1180" spans="1:28" x14ac:dyDescent="0.2">
      <c r="B1180" s="182"/>
      <c r="C1180" s="182"/>
      <c r="D1180" s="182"/>
      <c r="E1180" s="182"/>
      <c r="F1180" s="182"/>
      <c r="I1180" s="40"/>
      <c r="J1180" s="186"/>
      <c r="K1180" s="186"/>
      <c r="L1180" s="186"/>
      <c r="M1180" s="186"/>
      <c r="N1180" s="186"/>
      <c r="O1180" s="186"/>
      <c r="P1180" s="186"/>
      <c r="Q1180" s="182"/>
      <c r="R1180" s="182"/>
      <c r="S1180" s="182"/>
      <c r="T1180" s="186"/>
      <c r="U1180" s="186"/>
      <c r="AA1180" s="35"/>
      <c r="AB1180" s="35"/>
    </row>
    <row r="1181" spans="1:28" x14ac:dyDescent="0.2">
      <c r="B1181" s="182"/>
      <c r="C1181" s="182"/>
      <c r="D1181" s="182"/>
      <c r="E1181" s="182"/>
      <c r="F1181" s="182"/>
      <c r="I1181" s="40"/>
      <c r="J1181" s="186"/>
      <c r="K1181" s="186"/>
      <c r="L1181" s="186"/>
      <c r="M1181" s="186"/>
      <c r="N1181" s="186"/>
      <c r="O1181" s="186"/>
      <c r="P1181" s="186"/>
      <c r="Q1181" s="182"/>
      <c r="R1181" s="182"/>
      <c r="S1181" s="182"/>
      <c r="T1181" s="186"/>
      <c r="U1181" s="186"/>
      <c r="AA1181" s="35"/>
      <c r="AB1181" s="35"/>
    </row>
    <row r="1182" spans="1:28" x14ac:dyDescent="0.2">
      <c r="B1182" s="182"/>
      <c r="C1182" s="182"/>
      <c r="D1182" s="182"/>
      <c r="E1182" s="182"/>
      <c r="F1182" s="182"/>
      <c r="I1182" s="40"/>
      <c r="J1182" s="186"/>
      <c r="K1182" s="186"/>
      <c r="L1182" s="186"/>
      <c r="M1182" s="186"/>
      <c r="N1182" s="186"/>
      <c r="O1182" s="186"/>
      <c r="P1182" s="186"/>
      <c r="Q1182" s="182"/>
      <c r="R1182" s="182"/>
      <c r="S1182" s="182"/>
      <c r="T1182" s="186"/>
      <c r="U1182" s="186"/>
      <c r="AA1182" s="35"/>
      <c r="AB1182" s="35"/>
    </row>
    <row r="1183" spans="1:28" x14ac:dyDescent="0.2">
      <c r="B1183" s="182"/>
      <c r="C1183" s="182"/>
      <c r="D1183" s="182"/>
      <c r="E1183" s="182"/>
      <c r="F1183" s="182"/>
      <c r="I1183" s="40"/>
      <c r="J1183" s="186"/>
      <c r="K1183" s="186"/>
      <c r="L1183" s="186"/>
      <c r="M1183" s="186"/>
      <c r="N1183" s="186"/>
      <c r="O1183" s="186"/>
      <c r="P1183" s="186"/>
      <c r="Q1183" s="182"/>
      <c r="R1183" s="182"/>
      <c r="S1183" s="182"/>
      <c r="T1183" s="186"/>
      <c r="U1183" s="186"/>
      <c r="AA1183" s="35"/>
      <c r="AB1183" s="35"/>
    </row>
    <row r="1184" spans="1:28" x14ac:dyDescent="0.2">
      <c r="B1184" s="182"/>
      <c r="C1184" s="182"/>
      <c r="D1184" s="182"/>
      <c r="E1184" s="182"/>
      <c r="F1184" s="182"/>
      <c r="I1184" s="40"/>
      <c r="J1184" s="186"/>
      <c r="K1184" s="186"/>
      <c r="L1184" s="186"/>
      <c r="M1184" s="186"/>
      <c r="N1184" s="186"/>
      <c r="O1184" s="186"/>
      <c r="P1184" s="186"/>
      <c r="Q1184" s="182"/>
      <c r="R1184" s="182"/>
      <c r="S1184" s="182"/>
      <c r="T1184" s="186"/>
      <c r="U1184" s="186"/>
      <c r="AA1184" s="35"/>
      <c r="AB1184" s="35"/>
    </row>
    <row r="1185" spans="2:28" x14ac:dyDescent="0.2">
      <c r="B1185" s="182"/>
      <c r="C1185" s="182"/>
      <c r="D1185" s="182"/>
      <c r="E1185" s="182"/>
      <c r="F1185" s="182"/>
      <c r="I1185" s="40"/>
      <c r="J1185" s="186"/>
      <c r="K1185" s="186"/>
      <c r="L1185" s="186"/>
      <c r="M1185" s="186"/>
      <c r="N1185" s="186"/>
      <c r="O1185" s="186"/>
      <c r="P1185" s="186"/>
      <c r="Q1185" s="182"/>
      <c r="R1185" s="182"/>
      <c r="S1185" s="182"/>
      <c r="T1185" s="186"/>
      <c r="U1185" s="186"/>
      <c r="AA1185" s="35"/>
      <c r="AB1185" s="35"/>
    </row>
    <row r="1186" spans="2:28" x14ac:dyDescent="0.2">
      <c r="B1186" s="182"/>
      <c r="C1186" s="182"/>
      <c r="D1186" s="182"/>
      <c r="E1186" s="182"/>
      <c r="F1186" s="182"/>
      <c r="I1186" s="40"/>
      <c r="J1186" s="186"/>
      <c r="K1186" s="186"/>
      <c r="L1186" s="186"/>
      <c r="M1186" s="186"/>
      <c r="N1186" s="186"/>
      <c r="O1186" s="186"/>
      <c r="P1186" s="186"/>
      <c r="Q1186" s="182"/>
      <c r="R1186" s="182"/>
      <c r="S1186" s="182"/>
      <c r="T1186" s="186"/>
      <c r="U1186" s="186"/>
      <c r="AA1186" s="35"/>
      <c r="AB1186" s="35"/>
    </row>
    <row r="1187" spans="2:28" x14ac:dyDescent="0.2">
      <c r="B1187" s="182"/>
      <c r="C1187" s="182"/>
      <c r="D1187" s="182"/>
      <c r="E1187" s="182"/>
      <c r="F1187" s="182"/>
      <c r="I1187" s="40"/>
      <c r="J1187" s="186"/>
      <c r="K1187" s="186"/>
      <c r="L1187" s="186"/>
      <c r="M1187" s="186"/>
      <c r="N1187" s="186"/>
      <c r="O1187" s="186"/>
      <c r="P1187" s="186"/>
      <c r="Q1187" s="182"/>
      <c r="R1187" s="182"/>
      <c r="S1187" s="182"/>
      <c r="T1187" s="186"/>
      <c r="U1187" s="186"/>
      <c r="AA1187" s="35"/>
      <c r="AB1187" s="35"/>
    </row>
    <row r="1188" spans="2:28" x14ac:dyDescent="0.2">
      <c r="B1188" s="182"/>
      <c r="C1188" s="182"/>
      <c r="D1188" s="182"/>
      <c r="E1188" s="182"/>
      <c r="F1188" s="182"/>
      <c r="I1188" s="40"/>
      <c r="J1188" s="186"/>
      <c r="K1188" s="186"/>
      <c r="L1188" s="186"/>
      <c r="M1188" s="186"/>
      <c r="N1188" s="186"/>
      <c r="O1188" s="186"/>
      <c r="P1188" s="186"/>
      <c r="Q1188" s="182"/>
      <c r="R1188" s="182"/>
      <c r="S1188" s="182"/>
      <c r="T1188" s="186"/>
      <c r="U1188" s="186"/>
      <c r="AA1188" s="35"/>
      <c r="AB1188" s="35"/>
    </row>
    <row r="1189" spans="2:28" x14ac:dyDescent="0.2">
      <c r="B1189" s="182"/>
      <c r="C1189" s="182"/>
      <c r="D1189" s="182"/>
      <c r="E1189" s="182"/>
      <c r="F1189" s="182"/>
      <c r="I1189" s="40"/>
      <c r="J1189" s="186"/>
      <c r="K1189" s="186"/>
      <c r="L1189" s="186"/>
      <c r="M1189" s="186"/>
      <c r="N1189" s="186"/>
      <c r="O1189" s="186"/>
      <c r="P1189" s="186"/>
      <c r="Q1189" s="182"/>
      <c r="R1189" s="182"/>
      <c r="S1189" s="182"/>
      <c r="T1189" s="186"/>
      <c r="U1189" s="186"/>
      <c r="AA1189" s="35"/>
      <c r="AB1189" s="35"/>
    </row>
    <row r="1190" spans="2:28" x14ac:dyDescent="0.2">
      <c r="B1190" s="182"/>
      <c r="C1190" s="182"/>
      <c r="D1190" s="182"/>
      <c r="E1190" s="182"/>
      <c r="F1190" s="182"/>
      <c r="I1190" s="40"/>
      <c r="J1190" s="186"/>
      <c r="K1190" s="186"/>
      <c r="L1190" s="186"/>
      <c r="M1190" s="186"/>
      <c r="N1190" s="186"/>
      <c r="O1190" s="186"/>
      <c r="P1190" s="186"/>
      <c r="Q1190" s="182"/>
      <c r="R1190" s="182"/>
      <c r="S1190" s="182"/>
      <c r="T1190" s="186"/>
      <c r="U1190" s="186"/>
      <c r="AA1190" s="35"/>
      <c r="AB1190" s="35"/>
    </row>
    <row r="1191" spans="2:28" x14ac:dyDescent="0.2">
      <c r="B1191" s="182"/>
      <c r="C1191" s="182"/>
      <c r="D1191" s="182"/>
      <c r="E1191" s="182"/>
      <c r="F1191" s="182"/>
      <c r="I1191" s="40"/>
      <c r="J1191" s="186"/>
      <c r="K1191" s="186"/>
      <c r="L1191" s="186"/>
      <c r="M1191" s="186"/>
      <c r="N1191" s="186"/>
      <c r="O1191" s="186"/>
      <c r="P1191" s="186"/>
      <c r="Q1191" s="182"/>
      <c r="R1191" s="182"/>
      <c r="S1191" s="182"/>
      <c r="T1191" s="186"/>
      <c r="U1191" s="186"/>
      <c r="AA1191" s="35"/>
      <c r="AB1191" s="35"/>
    </row>
    <row r="1192" spans="2:28" x14ac:dyDescent="0.2">
      <c r="B1192" s="182"/>
      <c r="C1192" s="182"/>
      <c r="D1192" s="182"/>
      <c r="E1192" s="182"/>
      <c r="F1192" s="182"/>
      <c r="I1192" s="40"/>
      <c r="J1192" s="186"/>
      <c r="K1192" s="186"/>
      <c r="L1192" s="186"/>
      <c r="M1192" s="186"/>
      <c r="N1192" s="186"/>
      <c r="O1192" s="186"/>
      <c r="P1192" s="186"/>
      <c r="Q1192" s="182"/>
      <c r="R1192" s="182"/>
      <c r="S1192" s="182"/>
      <c r="T1192" s="186"/>
      <c r="U1192" s="186"/>
      <c r="AA1192" s="35"/>
      <c r="AB1192" s="35"/>
    </row>
    <row r="1193" spans="2:28" x14ac:dyDescent="0.2">
      <c r="B1193" s="182"/>
      <c r="C1193" s="182"/>
      <c r="D1193" s="182"/>
      <c r="E1193" s="182"/>
      <c r="F1193" s="182"/>
      <c r="I1193" s="40"/>
      <c r="J1193" s="186"/>
      <c r="K1193" s="186"/>
      <c r="L1193" s="186"/>
      <c r="M1193" s="186"/>
      <c r="N1193" s="186"/>
      <c r="O1193" s="186"/>
      <c r="P1193" s="186"/>
      <c r="Q1193" s="182"/>
      <c r="R1193" s="182"/>
      <c r="S1193" s="182"/>
      <c r="T1193" s="186"/>
      <c r="U1193" s="186"/>
      <c r="AA1193" s="35"/>
      <c r="AB1193" s="35"/>
    </row>
    <row r="1194" spans="2:28" x14ac:dyDescent="0.2">
      <c r="B1194" s="182"/>
      <c r="C1194" s="182"/>
      <c r="D1194" s="182"/>
      <c r="E1194" s="182"/>
      <c r="F1194" s="182"/>
      <c r="I1194" s="40"/>
      <c r="J1194" s="186"/>
      <c r="K1194" s="186"/>
      <c r="L1194" s="186"/>
      <c r="M1194" s="186"/>
      <c r="N1194" s="186"/>
      <c r="O1194" s="186"/>
      <c r="P1194" s="186"/>
      <c r="Q1194" s="182"/>
      <c r="R1194" s="182"/>
      <c r="S1194" s="182"/>
      <c r="T1194" s="186"/>
      <c r="U1194" s="186"/>
      <c r="AA1194" s="35"/>
      <c r="AB1194" s="35"/>
    </row>
    <row r="1195" spans="2:28" x14ac:dyDescent="0.2">
      <c r="B1195" s="182"/>
      <c r="C1195" s="182"/>
      <c r="D1195" s="182"/>
      <c r="E1195" s="182"/>
      <c r="F1195" s="182"/>
      <c r="I1195" s="40"/>
      <c r="J1195" s="186"/>
      <c r="K1195" s="186"/>
      <c r="L1195" s="186"/>
      <c r="M1195" s="186"/>
      <c r="N1195" s="186"/>
      <c r="O1195" s="186"/>
      <c r="P1195" s="186"/>
      <c r="Q1195" s="182"/>
      <c r="R1195" s="182"/>
      <c r="S1195" s="182"/>
      <c r="T1195" s="186"/>
      <c r="U1195" s="186"/>
      <c r="AA1195" s="35"/>
      <c r="AB1195" s="35"/>
    </row>
    <row r="1196" spans="2:28" x14ac:dyDescent="0.2">
      <c r="B1196" s="182"/>
      <c r="C1196" s="182"/>
      <c r="D1196" s="182"/>
      <c r="E1196" s="182"/>
      <c r="F1196" s="182"/>
      <c r="I1196" s="40"/>
      <c r="J1196" s="186"/>
      <c r="K1196" s="186"/>
      <c r="L1196" s="186"/>
      <c r="M1196" s="186"/>
      <c r="N1196" s="186"/>
      <c r="O1196" s="186"/>
      <c r="P1196" s="186"/>
      <c r="Q1196" s="182"/>
      <c r="R1196" s="182"/>
      <c r="S1196" s="182"/>
      <c r="T1196" s="186"/>
      <c r="U1196" s="186"/>
      <c r="AA1196" s="35"/>
      <c r="AB1196" s="35"/>
    </row>
    <row r="1197" spans="2:28" x14ac:dyDescent="0.2">
      <c r="B1197" s="182"/>
      <c r="C1197" s="182"/>
      <c r="D1197" s="182"/>
      <c r="E1197" s="182"/>
      <c r="F1197" s="182"/>
      <c r="I1197" s="40"/>
      <c r="J1197" s="186"/>
      <c r="K1197" s="186"/>
      <c r="L1197" s="186"/>
      <c r="M1197" s="186"/>
      <c r="N1197" s="186"/>
      <c r="O1197" s="186"/>
      <c r="P1197" s="186"/>
      <c r="Q1197" s="182"/>
      <c r="R1197" s="182"/>
      <c r="S1197" s="182"/>
      <c r="T1197" s="186"/>
      <c r="U1197" s="186"/>
      <c r="AA1197" s="35"/>
      <c r="AB1197" s="35"/>
    </row>
    <row r="1198" spans="2:28" x14ac:dyDescent="0.2">
      <c r="B1198" s="182"/>
      <c r="C1198" s="182"/>
      <c r="D1198" s="182"/>
      <c r="E1198" s="182"/>
      <c r="F1198" s="182"/>
      <c r="I1198" s="40"/>
      <c r="J1198" s="186"/>
      <c r="K1198" s="186"/>
      <c r="L1198" s="186"/>
      <c r="M1198" s="186"/>
      <c r="N1198" s="186"/>
      <c r="O1198" s="186"/>
      <c r="P1198" s="186"/>
      <c r="Q1198" s="182"/>
      <c r="R1198" s="182"/>
      <c r="S1198" s="182"/>
      <c r="T1198" s="186"/>
      <c r="U1198" s="186"/>
      <c r="AA1198" s="35"/>
      <c r="AB1198" s="35"/>
    </row>
    <row r="1199" spans="2:28" x14ac:dyDescent="0.2">
      <c r="B1199" s="182"/>
      <c r="C1199" s="182"/>
      <c r="D1199" s="182"/>
      <c r="E1199" s="182"/>
      <c r="F1199" s="182"/>
      <c r="I1199" s="40"/>
      <c r="J1199" s="186"/>
      <c r="K1199" s="186"/>
      <c r="L1199" s="186"/>
      <c r="M1199" s="186"/>
      <c r="N1199" s="186"/>
      <c r="O1199" s="186"/>
      <c r="P1199" s="186"/>
      <c r="Q1199" s="182"/>
      <c r="R1199" s="182"/>
      <c r="S1199" s="182"/>
      <c r="T1199" s="186"/>
      <c r="U1199" s="186"/>
      <c r="AA1199" s="35"/>
      <c r="AB1199" s="35"/>
    </row>
    <row r="1200" spans="2:28" x14ac:dyDescent="0.2">
      <c r="B1200" s="182"/>
      <c r="C1200" s="182"/>
      <c r="D1200" s="182"/>
      <c r="E1200" s="182"/>
      <c r="F1200" s="182"/>
      <c r="I1200" s="40"/>
      <c r="J1200" s="186"/>
      <c r="K1200" s="186"/>
      <c r="L1200" s="186"/>
      <c r="M1200" s="186"/>
      <c r="N1200" s="186"/>
      <c r="O1200" s="186"/>
      <c r="P1200" s="186"/>
      <c r="Q1200" s="182"/>
      <c r="R1200" s="182"/>
      <c r="S1200" s="182"/>
      <c r="T1200" s="186"/>
      <c r="U1200" s="186"/>
      <c r="AA1200" s="35"/>
      <c r="AB1200" s="35"/>
    </row>
    <row r="1201" spans="2:28" x14ac:dyDescent="0.2">
      <c r="B1201" s="182"/>
      <c r="C1201" s="182"/>
      <c r="D1201" s="182"/>
      <c r="E1201" s="182"/>
      <c r="F1201" s="182"/>
      <c r="I1201" s="40"/>
      <c r="J1201" s="186"/>
      <c r="K1201" s="186"/>
      <c r="L1201" s="186"/>
      <c r="M1201" s="186"/>
      <c r="N1201" s="186"/>
      <c r="O1201" s="186"/>
      <c r="P1201" s="186"/>
      <c r="Q1201" s="182"/>
      <c r="R1201" s="182"/>
      <c r="S1201" s="182"/>
      <c r="T1201" s="186"/>
      <c r="U1201" s="186"/>
      <c r="AA1201" s="35"/>
      <c r="AB1201" s="35"/>
    </row>
    <row r="1202" spans="2:28" x14ac:dyDescent="0.2">
      <c r="B1202" s="182"/>
      <c r="C1202" s="182"/>
      <c r="D1202" s="182"/>
      <c r="E1202" s="182"/>
      <c r="F1202" s="182"/>
      <c r="I1202" s="40"/>
      <c r="J1202" s="186"/>
      <c r="K1202" s="186"/>
      <c r="L1202" s="186"/>
      <c r="M1202" s="186"/>
      <c r="N1202" s="186"/>
      <c r="O1202" s="186"/>
      <c r="P1202" s="186"/>
      <c r="Q1202" s="182"/>
      <c r="R1202" s="182"/>
      <c r="S1202" s="182"/>
      <c r="T1202" s="186"/>
      <c r="U1202" s="186"/>
      <c r="AA1202" s="35"/>
      <c r="AB1202" s="35"/>
    </row>
    <row r="1203" spans="2:28" x14ac:dyDescent="0.2">
      <c r="B1203" s="182"/>
      <c r="C1203" s="182"/>
      <c r="D1203" s="182"/>
      <c r="E1203" s="182"/>
      <c r="F1203" s="182"/>
      <c r="I1203" s="40"/>
      <c r="J1203" s="186"/>
      <c r="K1203" s="186"/>
      <c r="L1203" s="186"/>
      <c r="M1203" s="186"/>
      <c r="N1203" s="186"/>
      <c r="O1203" s="186"/>
      <c r="P1203" s="186"/>
      <c r="Q1203" s="182"/>
      <c r="R1203" s="182"/>
      <c r="S1203" s="182"/>
      <c r="T1203" s="186"/>
      <c r="U1203" s="186"/>
      <c r="AA1203" s="35"/>
      <c r="AB1203" s="35"/>
    </row>
    <row r="1204" spans="2:28" x14ac:dyDescent="0.2">
      <c r="B1204" s="182"/>
      <c r="C1204" s="182"/>
      <c r="D1204" s="182"/>
      <c r="E1204" s="182"/>
      <c r="F1204" s="182"/>
      <c r="I1204" s="40"/>
      <c r="J1204" s="186"/>
      <c r="K1204" s="186"/>
      <c r="L1204" s="186"/>
      <c r="M1204" s="186"/>
      <c r="N1204" s="186"/>
      <c r="O1204" s="186"/>
      <c r="P1204" s="186"/>
      <c r="Q1204" s="182"/>
      <c r="R1204" s="182"/>
      <c r="S1204" s="182"/>
      <c r="T1204" s="186"/>
      <c r="U1204" s="186"/>
      <c r="AA1204" s="35"/>
      <c r="AB1204" s="35"/>
    </row>
    <row r="1205" spans="2:28" x14ac:dyDescent="0.2">
      <c r="B1205" s="182"/>
      <c r="C1205" s="182"/>
      <c r="D1205" s="182"/>
      <c r="E1205" s="182"/>
      <c r="F1205" s="182"/>
      <c r="I1205" s="40"/>
      <c r="J1205" s="186"/>
      <c r="K1205" s="186"/>
      <c r="L1205" s="186"/>
      <c r="M1205" s="186"/>
      <c r="N1205" s="186"/>
      <c r="O1205" s="186"/>
      <c r="P1205" s="186"/>
      <c r="Q1205" s="182"/>
      <c r="R1205" s="182"/>
      <c r="S1205" s="182"/>
      <c r="T1205" s="186"/>
      <c r="U1205" s="186"/>
      <c r="AA1205" s="35"/>
      <c r="AB1205" s="35"/>
    </row>
    <row r="1206" spans="2:28" x14ac:dyDescent="0.2">
      <c r="B1206" s="182"/>
      <c r="C1206" s="182"/>
      <c r="D1206" s="182"/>
      <c r="E1206" s="182"/>
      <c r="F1206" s="182"/>
      <c r="I1206" s="40"/>
      <c r="J1206" s="186"/>
      <c r="K1206" s="186"/>
      <c r="L1206" s="186"/>
      <c r="M1206" s="186"/>
      <c r="N1206" s="186"/>
      <c r="O1206" s="186"/>
      <c r="P1206" s="186"/>
      <c r="Q1206" s="182"/>
      <c r="R1206" s="182"/>
      <c r="S1206" s="182"/>
      <c r="T1206" s="186"/>
      <c r="U1206" s="186"/>
      <c r="AA1206" s="35"/>
      <c r="AB1206" s="35"/>
    </row>
    <row r="1207" spans="2:28" x14ac:dyDescent="0.2">
      <c r="B1207" s="182"/>
      <c r="C1207" s="182"/>
      <c r="D1207" s="182"/>
      <c r="E1207" s="182"/>
      <c r="F1207" s="182"/>
      <c r="I1207" s="40"/>
      <c r="J1207" s="186"/>
      <c r="K1207" s="186"/>
      <c r="L1207" s="186"/>
      <c r="M1207" s="186"/>
      <c r="N1207" s="186"/>
      <c r="O1207" s="186"/>
      <c r="P1207" s="186"/>
      <c r="Q1207" s="182"/>
      <c r="R1207" s="182"/>
      <c r="S1207" s="182"/>
      <c r="T1207" s="186"/>
      <c r="U1207" s="186"/>
      <c r="AA1207" s="35"/>
      <c r="AB1207" s="35"/>
    </row>
    <row r="1208" spans="2:28" x14ac:dyDescent="0.2">
      <c r="B1208" s="182"/>
      <c r="C1208" s="182"/>
      <c r="D1208" s="182"/>
      <c r="E1208" s="182"/>
      <c r="F1208" s="182"/>
      <c r="I1208" s="40"/>
      <c r="J1208" s="186"/>
      <c r="K1208" s="186"/>
      <c r="L1208" s="186"/>
      <c r="M1208" s="186"/>
      <c r="N1208" s="186"/>
      <c r="O1208" s="186"/>
      <c r="P1208" s="186"/>
      <c r="Q1208" s="182"/>
      <c r="R1208" s="182"/>
      <c r="S1208" s="182"/>
      <c r="T1208" s="186"/>
      <c r="U1208" s="186"/>
      <c r="AA1208" s="35"/>
      <c r="AB1208" s="35"/>
    </row>
    <row r="1209" spans="2:28" x14ac:dyDescent="0.2">
      <c r="B1209" s="182"/>
      <c r="C1209" s="182"/>
      <c r="D1209" s="182"/>
      <c r="E1209" s="182"/>
      <c r="F1209" s="182"/>
      <c r="I1209" s="40"/>
      <c r="J1209" s="186"/>
      <c r="K1209" s="186"/>
      <c r="L1209" s="186"/>
      <c r="M1209" s="186"/>
      <c r="N1209" s="186"/>
      <c r="O1209" s="186"/>
      <c r="P1209" s="186"/>
      <c r="Q1209" s="182"/>
      <c r="R1209" s="182"/>
      <c r="S1209" s="182"/>
      <c r="T1209" s="186"/>
      <c r="U1209" s="186"/>
      <c r="AA1209" s="35"/>
      <c r="AB1209" s="35"/>
    </row>
    <row r="1210" spans="2:28" x14ac:dyDescent="0.2">
      <c r="B1210" s="182"/>
      <c r="C1210" s="182"/>
      <c r="D1210" s="182"/>
      <c r="E1210" s="182"/>
      <c r="F1210" s="182"/>
      <c r="I1210" s="40"/>
      <c r="J1210" s="186"/>
      <c r="K1210" s="186"/>
      <c r="L1210" s="186"/>
      <c r="M1210" s="186"/>
      <c r="N1210" s="186"/>
      <c r="O1210" s="186"/>
      <c r="P1210" s="186"/>
      <c r="Q1210" s="182"/>
      <c r="R1210" s="182"/>
      <c r="S1210" s="182"/>
      <c r="T1210" s="186"/>
      <c r="U1210" s="186"/>
      <c r="AA1210" s="35"/>
      <c r="AB1210" s="35"/>
    </row>
    <row r="1211" spans="2:28" x14ac:dyDescent="0.2">
      <c r="B1211" s="182"/>
      <c r="C1211" s="182"/>
      <c r="D1211" s="182"/>
      <c r="E1211" s="182"/>
      <c r="F1211" s="182"/>
      <c r="I1211" s="40"/>
      <c r="J1211" s="186"/>
      <c r="K1211" s="186"/>
      <c r="L1211" s="186"/>
      <c r="M1211" s="186"/>
      <c r="N1211" s="186"/>
      <c r="O1211" s="186"/>
      <c r="P1211" s="186"/>
      <c r="Q1211" s="182"/>
      <c r="R1211" s="182"/>
      <c r="S1211" s="182"/>
      <c r="T1211" s="186"/>
      <c r="U1211" s="186"/>
      <c r="AA1211" s="35"/>
      <c r="AB1211" s="35"/>
    </row>
    <row r="1212" spans="2:28" x14ac:dyDescent="0.2">
      <c r="B1212" s="182"/>
      <c r="C1212" s="182"/>
      <c r="D1212" s="182"/>
      <c r="E1212" s="182"/>
      <c r="F1212" s="182"/>
      <c r="I1212" s="40"/>
      <c r="J1212" s="186"/>
      <c r="K1212" s="186"/>
      <c r="L1212" s="186"/>
      <c r="M1212" s="186"/>
      <c r="N1212" s="186"/>
      <c r="O1212" s="186"/>
      <c r="P1212" s="186"/>
      <c r="Q1212" s="182"/>
      <c r="R1212" s="182"/>
      <c r="S1212" s="182"/>
      <c r="T1212" s="186"/>
      <c r="U1212" s="186"/>
      <c r="AA1212" s="35"/>
      <c r="AB1212" s="35"/>
    </row>
    <row r="1213" spans="2:28" x14ac:dyDescent="0.2">
      <c r="B1213" s="182"/>
      <c r="C1213" s="182"/>
      <c r="D1213" s="182"/>
      <c r="E1213" s="182"/>
      <c r="F1213" s="182"/>
      <c r="I1213" s="40"/>
      <c r="J1213" s="186"/>
      <c r="K1213" s="186"/>
      <c r="L1213" s="186"/>
      <c r="M1213" s="186"/>
      <c r="N1213" s="186"/>
      <c r="O1213" s="186"/>
      <c r="P1213" s="186"/>
      <c r="Q1213" s="182"/>
      <c r="R1213" s="182"/>
      <c r="S1213" s="182"/>
      <c r="T1213" s="186"/>
      <c r="U1213" s="186"/>
      <c r="AA1213" s="35"/>
      <c r="AB1213" s="35"/>
    </row>
    <row r="1214" spans="2:28" x14ac:dyDescent="0.2">
      <c r="B1214" s="182"/>
      <c r="C1214" s="182"/>
      <c r="D1214" s="182"/>
      <c r="E1214" s="182"/>
      <c r="F1214" s="182"/>
      <c r="I1214" s="40"/>
      <c r="J1214" s="186"/>
      <c r="K1214" s="186"/>
      <c r="L1214" s="186"/>
      <c r="M1214" s="186"/>
      <c r="N1214" s="186"/>
      <c r="O1214" s="186"/>
      <c r="P1214" s="186"/>
      <c r="Q1214" s="182"/>
      <c r="R1214" s="182"/>
      <c r="S1214" s="182"/>
      <c r="T1214" s="186"/>
      <c r="U1214" s="186"/>
      <c r="AA1214" s="35"/>
      <c r="AB1214" s="35"/>
    </row>
    <row r="1215" spans="2:28" x14ac:dyDescent="0.2">
      <c r="B1215" s="182"/>
      <c r="C1215" s="182"/>
      <c r="D1215" s="182"/>
      <c r="E1215" s="182"/>
      <c r="F1215" s="182"/>
      <c r="I1215" s="40"/>
      <c r="J1215" s="186"/>
      <c r="K1215" s="186"/>
      <c r="L1215" s="186"/>
      <c r="M1215" s="186"/>
      <c r="N1215" s="186"/>
      <c r="O1215" s="186"/>
      <c r="P1215" s="186"/>
      <c r="Q1215" s="182"/>
      <c r="R1215" s="182"/>
      <c r="S1215" s="182"/>
      <c r="T1215" s="186"/>
      <c r="U1215" s="186"/>
      <c r="AA1215" s="35"/>
      <c r="AB1215" s="35"/>
    </row>
    <row r="1216" spans="2:28" x14ac:dyDescent="0.2">
      <c r="B1216" s="182"/>
      <c r="C1216" s="182"/>
      <c r="D1216" s="182"/>
      <c r="E1216" s="182"/>
      <c r="F1216" s="182"/>
      <c r="I1216" s="40"/>
      <c r="J1216" s="186"/>
      <c r="K1216" s="186"/>
      <c r="L1216" s="186"/>
      <c r="M1216" s="186"/>
      <c r="N1216" s="186"/>
      <c r="O1216" s="186"/>
      <c r="P1216" s="186"/>
      <c r="Q1216" s="182"/>
      <c r="R1216" s="182"/>
      <c r="S1216" s="182"/>
      <c r="T1216" s="186"/>
      <c r="U1216" s="186"/>
      <c r="AA1216" s="35"/>
      <c r="AB1216" s="35"/>
    </row>
    <row r="1217" spans="2:28" x14ac:dyDescent="0.2">
      <c r="B1217" s="182"/>
      <c r="C1217" s="182"/>
      <c r="D1217" s="182"/>
      <c r="E1217" s="182"/>
      <c r="F1217" s="182"/>
      <c r="I1217" s="40"/>
      <c r="J1217" s="186"/>
      <c r="K1217" s="186"/>
      <c r="L1217" s="186"/>
      <c r="M1217" s="186"/>
      <c r="N1217" s="186"/>
      <c r="O1217" s="186"/>
      <c r="P1217" s="186"/>
      <c r="Q1217" s="182"/>
      <c r="R1217" s="182"/>
      <c r="S1217" s="182"/>
      <c r="T1217" s="186"/>
      <c r="U1217" s="186"/>
      <c r="AA1217" s="35"/>
      <c r="AB1217" s="35"/>
    </row>
    <row r="1218" spans="2:28" x14ac:dyDescent="0.2">
      <c r="B1218" s="182"/>
      <c r="C1218" s="182"/>
      <c r="D1218" s="182"/>
      <c r="E1218" s="182"/>
      <c r="F1218" s="182"/>
      <c r="I1218" s="40"/>
      <c r="J1218" s="186"/>
      <c r="K1218" s="186"/>
      <c r="L1218" s="186"/>
      <c r="M1218" s="186"/>
      <c r="N1218" s="186"/>
      <c r="O1218" s="186"/>
      <c r="P1218" s="186"/>
      <c r="Q1218" s="182"/>
      <c r="R1218" s="182"/>
      <c r="S1218" s="182"/>
      <c r="T1218" s="186"/>
      <c r="U1218" s="186"/>
      <c r="AA1218" s="35"/>
      <c r="AB1218" s="35"/>
    </row>
    <row r="1219" spans="2:28" x14ac:dyDescent="0.2">
      <c r="B1219" s="182"/>
      <c r="C1219" s="182"/>
      <c r="D1219" s="182"/>
      <c r="E1219" s="182"/>
      <c r="F1219" s="182"/>
      <c r="I1219" s="40"/>
      <c r="J1219" s="186"/>
      <c r="K1219" s="186"/>
      <c r="L1219" s="186"/>
      <c r="M1219" s="186"/>
      <c r="N1219" s="186"/>
      <c r="O1219" s="186"/>
      <c r="P1219" s="186"/>
      <c r="Q1219" s="182"/>
      <c r="R1219" s="182"/>
      <c r="S1219" s="182"/>
      <c r="T1219" s="186"/>
      <c r="U1219" s="186"/>
      <c r="AA1219" s="35"/>
      <c r="AB1219" s="35"/>
    </row>
    <row r="1220" spans="2:28" x14ac:dyDescent="0.2">
      <c r="B1220" s="182"/>
      <c r="C1220" s="182"/>
      <c r="D1220" s="182"/>
      <c r="E1220" s="182"/>
      <c r="F1220" s="182"/>
      <c r="I1220" s="40"/>
      <c r="J1220" s="186"/>
      <c r="K1220" s="186"/>
      <c r="L1220" s="186"/>
      <c r="M1220" s="186"/>
      <c r="N1220" s="186"/>
      <c r="O1220" s="186"/>
      <c r="P1220" s="186"/>
      <c r="Q1220" s="182"/>
      <c r="R1220" s="182"/>
      <c r="S1220" s="182"/>
      <c r="T1220" s="186"/>
      <c r="U1220" s="186"/>
      <c r="AA1220" s="35"/>
      <c r="AB1220" s="35"/>
    </row>
    <row r="1221" spans="2:28" x14ac:dyDescent="0.2">
      <c r="B1221" s="182"/>
      <c r="C1221" s="182"/>
      <c r="D1221" s="182"/>
      <c r="E1221" s="182"/>
      <c r="F1221" s="182"/>
      <c r="I1221" s="40"/>
      <c r="J1221" s="186"/>
      <c r="K1221" s="186"/>
      <c r="L1221" s="186"/>
      <c r="M1221" s="186"/>
      <c r="N1221" s="186"/>
      <c r="O1221" s="186"/>
      <c r="P1221" s="186"/>
      <c r="Q1221" s="182"/>
      <c r="R1221" s="182"/>
      <c r="S1221" s="182"/>
      <c r="T1221" s="186"/>
      <c r="U1221" s="186"/>
      <c r="AA1221" s="35"/>
      <c r="AB1221" s="35"/>
    </row>
    <row r="1222" spans="2:28" x14ac:dyDescent="0.2">
      <c r="B1222" s="182"/>
      <c r="C1222" s="182"/>
      <c r="D1222" s="182"/>
      <c r="E1222" s="182"/>
      <c r="F1222" s="182"/>
      <c r="I1222" s="40"/>
      <c r="J1222" s="186"/>
      <c r="K1222" s="186"/>
      <c r="L1222" s="186"/>
      <c r="M1222" s="186"/>
      <c r="N1222" s="186"/>
      <c r="O1222" s="186"/>
      <c r="P1222" s="186"/>
      <c r="Q1222" s="182"/>
      <c r="R1222" s="182"/>
      <c r="S1222" s="182"/>
      <c r="T1222" s="186"/>
      <c r="U1222" s="186"/>
      <c r="AA1222" s="35"/>
      <c r="AB1222" s="35"/>
    </row>
    <row r="1223" spans="2:28" x14ac:dyDescent="0.2">
      <c r="B1223" s="182"/>
      <c r="C1223" s="182"/>
      <c r="D1223" s="182"/>
      <c r="E1223" s="182"/>
      <c r="F1223" s="182"/>
      <c r="I1223" s="40"/>
      <c r="J1223" s="186"/>
      <c r="K1223" s="186"/>
      <c r="L1223" s="186"/>
      <c r="M1223" s="186"/>
      <c r="N1223" s="186"/>
      <c r="O1223" s="186"/>
      <c r="P1223" s="186"/>
      <c r="Q1223" s="182"/>
      <c r="R1223" s="182"/>
      <c r="S1223" s="182"/>
      <c r="T1223" s="186"/>
      <c r="U1223" s="186"/>
      <c r="AA1223" s="35"/>
      <c r="AB1223" s="35"/>
    </row>
    <row r="1224" spans="2:28" x14ac:dyDescent="0.2">
      <c r="B1224" s="182"/>
      <c r="C1224" s="182"/>
      <c r="D1224" s="182"/>
      <c r="E1224" s="182"/>
      <c r="F1224" s="182"/>
      <c r="I1224" s="40"/>
      <c r="J1224" s="186"/>
      <c r="K1224" s="186"/>
      <c r="L1224" s="186"/>
      <c r="M1224" s="186"/>
      <c r="N1224" s="186"/>
      <c r="O1224" s="186"/>
      <c r="P1224" s="186"/>
      <c r="Q1224" s="182"/>
      <c r="R1224" s="182"/>
      <c r="S1224" s="182"/>
      <c r="T1224" s="186"/>
      <c r="U1224" s="186"/>
      <c r="AA1224" s="35"/>
      <c r="AB1224" s="35"/>
    </row>
    <row r="1225" spans="2:28" x14ac:dyDescent="0.2">
      <c r="B1225" s="182"/>
      <c r="C1225" s="182"/>
      <c r="D1225" s="182"/>
      <c r="E1225" s="182"/>
      <c r="F1225" s="182"/>
      <c r="I1225" s="40"/>
      <c r="J1225" s="186"/>
      <c r="K1225" s="186"/>
      <c r="L1225" s="186"/>
      <c r="M1225" s="186"/>
      <c r="N1225" s="186"/>
      <c r="O1225" s="186"/>
      <c r="P1225" s="186"/>
      <c r="Q1225" s="182"/>
      <c r="R1225" s="182"/>
      <c r="S1225" s="182"/>
      <c r="T1225" s="186"/>
      <c r="U1225" s="186"/>
      <c r="AA1225" s="35"/>
      <c r="AB1225" s="35"/>
    </row>
    <row r="1226" spans="2:28" x14ac:dyDescent="0.2">
      <c r="B1226" s="182"/>
      <c r="C1226" s="182"/>
      <c r="D1226" s="182"/>
      <c r="E1226" s="182"/>
      <c r="F1226" s="182"/>
      <c r="I1226" s="40"/>
      <c r="J1226" s="186"/>
      <c r="K1226" s="186"/>
      <c r="L1226" s="186"/>
      <c r="M1226" s="186"/>
      <c r="N1226" s="186"/>
      <c r="O1226" s="186"/>
      <c r="P1226" s="186"/>
      <c r="Q1226" s="182"/>
      <c r="R1226" s="182"/>
      <c r="S1226" s="182"/>
      <c r="T1226" s="186"/>
      <c r="U1226" s="186"/>
      <c r="AA1226" s="35"/>
      <c r="AB1226" s="35"/>
    </row>
    <row r="1227" spans="2:28" x14ac:dyDescent="0.2">
      <c r="B1227" s="182"/>
      <c r="C1227" s="182"/>
      <c r="D1227" s="182"/>
      <c r="E1227" s="182"/>
      <c r="F1227" s="182"/>
      <c r="I1227" s="40"/>
      <c r="J1227" s="186"/>
      <c r="K1227" s="186"/>
      <c r="L1227" s="186"/>
      <c r="M1227" s="186"/>
      <c r="N1227" s="186"/>
      <c r="O1227" s="186"/>
      <c r="P1227" s="186"/>
      <c r="Q1227" s="182"/>
      <c r="R1227" s="182"/>
      <c r="S1227" s="182"/>
      <c r="T1227" s="186"/>
      <c r="U1227" s="186"/>
      <c r="AA1227" s="35"/>
      <c r="AB1227" s="35"/>
    </row>
    <row r="1228" spans="2:28" x14ac:dyDescent="0.2">
      <c r="B1228" s="182"/>
      <c r="C1228" s="182"/>
      <c r="D1228" s="182"/>
      <c r="E1228" s="182"/>
      <c r="F1228" s="182"/>
      <c r="I1228" s="40"/>
      <c r="J1228" s="186"/>
      <c r="K1228" s="186"/>
      <c r="L1228" s="186"/>
      <c r="M1228" s="186"/>
      <c r="N1228" s="186"/>
      <c r="O1228" s="186"/>
      <c r="P1228" s="186"/>
      <c r="Q1228" s="182"/>
      <c r="R1228" s="182"/>
      <c r="S1228" s="182"/>
      <c r="T1228" s="186"/>
      <c r="U1228" s="186"/>
      <c r="AA1228" s="35"/>
      <c r="AB1228" s="35"/>
    </row>
    <row r="1229" spans="2:28" x14ac:dyDescent="0.2">
      <c r="B1229" s="182"/>
      <c r="C1229" s="182"/>
      <c r="D1229" s="182"/>
      <c r="E1229" s="182"/>
      <c r="F1229" s="182"/>
      <c r="I1229" s="40"/>
      <c r="J1229" s="186"/>
      <c r="K1229" s="186"/>
      <c r="L1229" s="186"/>
      <c r="M1229" s="186"/>
      <c r="N1229" s="186"/>
      <c r="O1229" s="186"/>
      <c r="P1229" s="186"/>
      <c r="Q1229" s="182"/>
      <c r="R1229" s="182"/>
      <c r="S1229" s="182"/>
      <c r="T1229" s="186"/>
      <c r="U1229" s="186"/>
      <c r="AA1229" s="35"/>
      <c r="AB1229" s="35"/>
    </row>
    <row r="1230" spans="2:28" x14ac:dyDescent="0.2">
      <c r="B1230" s="182"/>
      <c r="C1230" s="182"/>
      <c r="D1230" s="182"/>
      <c r="E1230" s="182"/>
      <c r="F1230" s="182"/>
      <c r="I1230" s="40"/>
      <c r="J1230" s="186"/>
      <c r="K1230" s="186"/>
      <c r="L1230" s="186"/>
      <c r="M1230" s="186"/>
      <c r="N1230" s="186"/>
      <c r="O1230" s="186"/>
      <c r="P1230" s="186"/>
      <c r="Q1230" s="182"/>
      <c r="R1230" s="182"/>
      <c r="S1230" s="182"/>
      <c r="T1230" s="186"/>
      <c r="U1230" s="186"/>
      <c r="AA1230" s="35"/>
      <c r="AB1230" s="35"/>
    </row>
    <row r="1231" spans="2:28" x14ac:dyDescent="0.2">
      <c r="B1231" s="182"/>
      <c r="C1231" s="182"/>
      <c r="D1231" s="182"/>
      <c r="E1231" s="182"/>
      <c r="F1231" s="182"/>
      <c r="I1231" s="40"/>
      <c r="J1231" s="186"/>
      <c r="K1231" s="186"/>
      <c r="L1231" s="186"/>
      <c r="M1231" s="186"/>
      <c r="N1231" s="186"/>
      <c r="O1231" s="186"/>
      <c r="P1231" s="186"/>
      <c r="Q1231" s="182"/>
      <c r="R1231" s="182"/>
      <c r="S1231" s="182"/>
      <c r="T1231" s="186"/>
      <c r="U1231" s="186"/>
      <c r="AA1231" s="35"/>
      <c r="AB1231" s="35"/>
    </row>
    <row r="1232" spans="2:28" x14ac:dyDescent="0.2">
      <c r="B1232" s="182"/>
      <c r="C1232" s="182"/>
      <c r="D1232" s="182"/>
      <c r="E1232" s="182"/>
      <c r="F1232" s="182"/>
      <c r="I1232" s="40"/>
      <c r="J1232" s="186"/>
      <c r="K1232" s="186"/>
      <c r="L1232" s="186"/>
      <c r="M1232" s="186"/>
      <c r="N1232" s="186"/>
      <c r="O1232" s="186"/>
      <c r="P1232" s="186"/>
      <c r="Q1232" s="182"/>
      <c r="R1232" s="182"/>
      <c r="S1232" s="182"/>
      <c r="T1232" s="186"/>
      <c r="U1232" s="186"/>
      <c r="AA1232" s="35"/>
      <c r="AB1232" s="35"/>
    </row>
    <row r="1233" spans="2:28" x14ac:dyDescent="0.2">
      <c r="B1233" s="182"/>
      <c r="C1233" s="182"/>
      <c r="D1233" s="182"/>
      <c r="E1233" s="182"/>
      <c r="F1233" s="182"/>
      <c r="I1233" s="40"/>
      <c r="J1233" s="186"/>
      <c r="K1233" s="186"/>
      <c r="L1233" s="186"/>
      <c r="M1233" s="186"/>
      <c r="N1233" s="186"/>
      <c r="O1233" s="186"/>
      <c r="P1233" s="186"/>
      <c r="Q1233" s="182"/>
      <c r="R1233" s="182"/>
      <c r="S1233" s="182"/>
      <c r="T1233" s="186"/>
      <c r="U1233" s="186"/>
      <c r="AA1233" s="35"/>
      <c r="AB1233" s="35"/>
    </row>
    <row r="1234" spans="2:28" x14ac:dyDescent="0.2">
      <c r="B1234" s="182"/>
      <c r="C1234" s="182"/>
      <c r="D1234" s="182"/>
      <c r="E1234" s="182"/>
      <c r="F1234" s="182"/>
      <c r="I1234" s="40"/>
      <c r="J1234" s="186"/>
      <c r="K1234" s="186"/>
      <c r="L1234" s="186"/>
      <c r="M1234" s="186"/>
      <c r="N1234" s="186"/>
      <c r="O1234" s="186"/>
      <c r="P1234" s="186"/>
      <c r="Q1234" s="182"/>
      <c r="R1234" s="182"/>
      <c r="S1234" s="182"/>
      <c r="T1234" s="186"/>
      <c r="U1234" s="186"/>
      <c r="AA1234" s="35"/>
      <c r="AB1234" s="35"/>
    </row>
    <row r="1235" spans="2:28" x14ac:dyDescent="0.2">
      <c r="B1235" s="182"/>
      <c r="C1235" s="182"/>
      <c r="D1235" s="182"/>
      <c r="E1235" s="182"/>
      <c r="F1235" s="182"/>
      <c r="I1235" s="40"/>
      <c r="J1235" s="186"/>
      <c r="K1235" s="186"/>
      <c r="L1235" s="186"/>
      <c r="M1235" s="186"/>
      <c r="N1235" s="186"/>
      <c r="O1235" s="186"/>
      <c r="P1235" s="186"/>
      <c r="Q1235" s="182"/>
      <c r="R1235" s="182"/>
      <c r="S1235" s="182"/>
      <c r="T1235" s="186"/>
      <c r="U1235" s="186"/>
      <c r="AA1235" s="35"/>
      <c r="AB1235" s="35"/>
    </row>
    <row r="1236" spans="2:28" x14ac:dyDescent="0.2">
      <c r="B1236" s="182"/>
      <c r="C1236" s="182"/>
      <c r="D1236" s="182"/>
      <c r="E1236" s="182"/>
      <c r="F1236" s="182"/>
      <c r="I1236" s="40"/>
      <c r="J1236" s="186"/>
      <c r="K1236" s="186"/>
      <c r="L1236" s="186"/>
      <c r="M1236" s="186"/>
      <c r="N1236" s="186"/>
      <c r="O1236" s="186"/>
      <c r="P1236" s="186"/>
      <c r="Q1236" s="182"/>
      <c r="R1236" s="182"/>
      <c r="S1236" s="182"/>
      <c r="T1236" s="186"/>
      <c r="U1236" s="186"/>
      <c r="AA1236" s="35"/>
      <c r="AB1236" s="35"/>
    </row>
    <row r="1237" spans="2:28" x14ac:dyDescent="0.2">
      <c r="B1237" s="182"/>
      <c r="C1237" s="182"/>
      <c r="D1237" s="182"/>
      <c r="E1237" s="182"/>
      <c r="F1237" s="182"/>
      <c r="I1237" s="40"/>
      <c r="J1237" s="186"/>
      <c r="K1237" s="186"/>
      <c r="L1237" s="186"/>
      <c r="M1237" s="186"/>
      <c r="N1237" s="186"/>
      <c r="O1237" s="186"/>
      <c r="P1237" s="186"/>
      <c r="Q1237" s="182"/>
      <c r="R1237" s="182"/>
      <c r="S1237" s="182"/>
      <c r="T1237" s="186"/>
      <c r="U1237" s="186"/>
      <c r="AA1237" s="35"/>
      <c r="AB1237" s="35"/>
    </row>
    <row r="1238" spans="2:28" x14ac:dyDescent="0.2">
      <c r="B1238" s="182"/>
      <c r="C1238" s="182"/>
      <c r="D1238" s="182"/>
      <c r="E1238" s="182"/>
      <c r="F1238" s="182"/>
      <c r="I1238" s="40"/>
      <c r="J1238" s="186"/>
      <c r="K1238" s="186"/>
      <c r="L1238" s="186"/>
      <c r="M1238" s="186"/>
      <c r="N1238" s="186"/>
      <c r="O1238" s="186"/>
      <c r="P1238" s="186"/>
      <c r="Q1238" s="182"/>
      <c r="R1238" s="182"/>
      <c r="S1238" s="182"/>
      <c r="T1238" s="186"/>
      <c r="U1238" s="186"/>
      <c r="AA1238" s="35"/>
      <c r="AB1238" s="35"/>
    </row>
    <row r="1239" spans="2:28" x14ac:dyDescent="0.2">
      <c r="B1239" s="182"/>
      <c r="C1239" s="182"/>
      <c r="D1239" s="182"/>
      <c r="E1239" s="182"/>
      <c r="F1239" s="182"/>
      <c r="I1239" s="40"/>
      <c r="J1239" s="186"/>
      <c r="K1239" s="186"/>
      <c r="L1239" s="186"/>
      <c r="M1239" s="186"/>
      <c r="N1239" s="186"/>
      <c r="O1239" s="186"/>
      <c r="P1239" s="186"/>
      <c r="Q1239" s="182"/>
      <c r="R1239" s="182"/>
      <c r="S1239" s="182"/>
      <c r="T1239" s="186"/>
      <c r="U1239" s="186"/>
      <c r="AA1239" s="35"/>
      <c r="AB1239" s="35"/>
    </row>
    <row r="1240" spans="2:28" x14ac:dyDescent="0.2">
      <c r="B1240" s="182"/>
      <c r="C1240" s="182"/>
      <c r="D1240" s="182"/>
      <c r="E1240" s="182"/>
      <c r="F1240" s="182"/>
      <c r="I1240" s="40"/>
      <c r="J1240" s="186"/>
      <c r="K1240" s="186"/>
      <c r="L1240" s="186"/>
      <c r="M1240" s="186"/>
      <c r="N1240" s="186"/>
      <c r="O1240" s="186"/>
      <c r="P1240" s="186"/>
      <c r="Q1240" s="182"/>
      <c r="R1240" s="182"/>
      <c r="S1240" s="182"/>
      <c r="T1240" s="186"/>
      <c r="U1240" s="186"/>
      <c r="AA1240" s="35"/>
      <c r="AB1240" s="35"/>
    </row>
    <row r="1241" spans="2:28" x14ac:dyDescent="0.2">
      <c r="B1241" s="182"/>
      <c r="C1241" s="182"/>
      <c r="D1241" s="182"/>
      <c r="E1241" s="182"/>
      <c r="F1241" s="182"/>
      <c r="I1241" s="40"/>
      <c r="J1241" s="186"/>
      <c r="K1241" s="186"/>
      <c r="L1241" s="186"/>
      <c r="M1241" s="186"/>
      <c r="N1241" s="186"/>
      <c r="O1241" s="186"/>
      <c r="P1241" s="186"/>
      <c r="Q1241" s="182"/>
      <c r="R1241" s="182"/>
      <c r="S1241" s="182"/>
      <c r="T1241" s="186"/>
      <c r="U1241" s="186"/>
      <c r="AA1241" s="35"/>
      <c r="AB1241" s="35"/>
    </row>
    <row r="1242" spans="2:28" x14ac:dyDescent="0.2">
      <c r="B1242" s="182"/>
      <c r="C1242" s="182"/>
      <c r="D1242" s="182"/>
      <c r="E1242" s="182"/>
      <c r="F1242" s="182"/>
      <c r="I1242" s="40"/>
      <c r="J1242" s="186"/>
      <c r="K1242" s="186"/>
      <c r="L1242" s="186"/>
      <c r="M1242" s="186"/>
      <c r="N1242" s="186"/>
      <c r="O1242" s="186"/>
      <c r="P1242" s="186"/>
      <c r="Q1242" s="182"/>
      <c r="R1242" s="182"/>
      <c r="S1242" s="182"/>
      <c r="T1242" s="186"/>
      <c r="U1242" s="186"/>
      <c r="AA1242" s="35"/>
      <c r="AB1242" s="35"/>
    </row>
    <row r="1243" spans="2:28" x14ac:dyDescent="0.2">
      <c r="B1243" s="182"/>
      <c r="C1243" s="182"/>
      <c r="D1243" s="182"/>
      <c r="E1243" s="182"/>
      <c r="F1243" s="182"/>
      <c r="I1243" s="40"/>
      <c r="J1243" s="186"/>
      <c r="K1243" s="186"/>
      <c r="L1243" s="186"/>
      <c r="M1243" s="186"/>
      <c r="N1243" s="186"/>
      <c r="O1243" s="186"/>
      <c r="P1243" s="186"/>
      <c r="Q1243" s="182"/>
      <c r="R1243" s="182"/>
      <c r="S1243" s="182"/>
      <c r="T1243" s="186"/>
      <c r="U1243" s="186"/>
      <c r="AA1243" s="35"/>
      <c r="AB1243" s="35"/>
    </row>
    <row r="1244" spans="2:28" x14ac:dyDescent="0.2">
      <c r="B1244" s="182"/>
      <c r="C1244" s="182"/>
      <c r="D1244" s="182"/>
      <c r="E1244" s="182"/>
      <c r="F1244" s="182"/>
      <c r="I1244" s="40"/>
      <c r="J1244" s="186"/>
      <c r="K1244" s="186"/>
      <c r="L1244" s="186"/>
      <c r="M1244" s="186"/>
      <c r="N1244" s="186"/>
      <c r="O1244" s="186"/>
      <c r="P1244" s="186"/>
      <c r="Q1244" s="182"/>
      <c r="R1244" s="182"/>
      <c r="S1244" s="182"/>
      <c r="T1244" s="186"/>
      <c r="U1244" s="186"/>
      <c r="AA1244" s="35"/>
      <c r="AB1244" s="35"/>
    </row>
    <row r="1245" spans="2:28" x14ac:dyDescent="0.2">
      <c r="B1245" s="182"/>
      <c r="C1245" s="182"/>
      <c r="D1245" s="182"/>
      <c r="E1245" s="182"/>
      <c r="F1245" s="182"/>
      <c r="I1245" s="40"/>
      <c r="J1245" s="186"/>
      <c r="K1245" s="186"/>
      <c r="L1245" s="186"/>
      <c r="M1245" s="186"/>
      <c r="N1245" s="186"/>
      <c r="O1245" s="186"/>
      <c r="P1245" s="186"/>
      <c r="Q1245" s="182"/>
      <c r="R1245" s="182"/>
      <c r="S1245" s="182"/>
      <c r="T1245" s="186"/>
      <c r="U1245" s="186"/>
      <c r="AA1245" s="35"/>
      <c r="AB1245" s="35"/>
    </row>
    <row r="1246" spans="2:28" x14ac:dyDescent="0.2">
      <c r="B1246" s="182"/>
      <c r="C1246" s="182"/>
      <c r="D1246" s="182"/>
      <c r="E1246" s="182"/>
      <c r="F1246" s="182"/>
      <c r="I1246" s="40"/>
      <c r="J1246" s="186"/>
      <c r="K1246" s="186"/>
      <c r="L1246" s="186"/>
      <c r="M1246" s="186"/>
      <c r="N1246" s="186"/>
      <c r="O1246" s="186"/>
      <c r="P1246" s="186"/>
      <c r="Q1246" s="182"/>
      <c r="R1246" s="182"/>
      <c r="S1246" s="182"/>
      <c r="T1246" s="186"/>
      <c r="U1246" s="186"/>
      <c r="AA1246" s="35"/>
      <c r="AB1246" s="35"/>
    </row>
    <row r="1247" spans="2:28" x14ac:dyDescent="0.2">
      <c r="B1247" s="182"/>
      <c r="C1247" s="182"/>
      <c r="D1247" s="182"/>
      <c r="E1247" s="182"/>
      <c r="F1247" s="182"/>
      <c r="I1247" s="40"/>
      <c r="J1247" s="186"/>
      <c r="K1247" s="186"/>
      <c r="L1247" s="186"/>
      <c r="M1247" s="186"/>
      <c r="N1247" s="186"/>
      <c r="O1247" s="186"/>
      <c r="P1247" s="186"/>
      <c r="Q1247" s="182"/>
      <c r="R1247" s="182"/>
      <c r="S1247" s="182"/>
      <c r="T1247" s="186"/>
      <c r="U1247" s="186"/>
      <c r="AA1247" s="35"/>
      <c r="AB1247" s="35"/>
    </row>
    <row r="1248" spans="2:28" x14ac:dyDescent="0.2">
      <c r="B1248" s="182"/>
      <c r="C1248" s="182"/>
      <c r="D1248" s="182"/>
      <c r="E1248" s="182"/>
      <c r="F1248" s="182"/>
      <c r="I1248" s="40"/>
      <c r="J1248" s="186"/>
      <c r="K1248" s="186"/>
      <c r="L1248" s="186"/>
      <c r="M1248" s="186"/>
      <c r="N1248" s="186"/>
      <c r="O1248" s="186"/>
      <c r="P1248" s="186"/>
      <c r="Q1248" s="182"/>
      <c r="R1248" s="182"/>
      <c r="S1248" s="182"/>
      <c r="T1248" s="186"/>
      <c r="U1248" s="186"/>
      <c r="AA1248" s="35"/>
      <c r="AB1248" s="35"/>
    </row>
    <row r="1249" spans="2:28" x14ac:dyDescent="0.2">
      <c r="B1249" s="182"/>
      <c r="C1249" s="182"/>
      <c r="D1249" s="182"/>
      <c r="E1249" s="182"/>
      <c r="F1249" s="182"/>
      <c r="I1249" s="40"/>
      <c r="J1249" s="186"/>
      <c r="K1249" s="186"/>
      <c r="L1249" s="186"/>
      <c r="M1249" s="186"/>
      <c r="N1249" s="186"/>
      <c r="O1249" s="186"/>
      <c r="P1249" s="186"/>
      <c r="Q1249" s="182"/>
      <c r="R1249" s="182"/>
      <c r="S1249" s="182"/>
      <c r="T1249" s="186"/>
      <c r="U1249" s="186"/>
      <c r="AA1249" s="35"/>
      <c r="AB1249" s="35"/>
    </row>
    <row r="1250" spans="2:28" x14ac:dyDescent="0.2">
      <c r="B1250" s="182"/>
      <c r="C1250" s="182"/>
      <c r="D1250" s="182"/>
      <c r="E1250" s="182"/>
      <c r="F1250" s="182"/>
      <c r="I1250" s="40"/>
      <c r="J1250" s="186"/>
      <c r="K1250" s="186"/>
      <c r="L1250" s="186"/>
      <c r="M1250" s="186"/>
      <c r="N1250" s="186"/>
      <c r="O1250" s="186"/>
      <c r="P1250" s="186"/>
      <c r="Q1250" s="182"/>
      <c r="R1250" s="182"/>
      <c r="S1250" s="182"/>
      <c r="T1250" s="186"/>
      <c r="U1250" s="186"/>
      <c r="AA1250" s="35"/>
      <c r="AB1250" s="35"/>
    </row>
    <row r="1251" spans="2:28" x14ac:dyDescent="0.2">
      <c r="B1251" s="182"/>
      <c r="C1251" s="182"/>
      <c r="D1251" s="182"/>
      <c r="E1251" s="182"/>
      <c r="F1251" s="182"/>
      <c r="I1251" s="40"/>
      <c r="J1251" s="186"/>
      <c r="K1251" s="186"/>
      <c r="L1251" s="186"/>
      <c r="M1251" s="186"/>
      <c r="N1251" s="186"/>
      <c r="O1251" s="186"/>
      <c r="P1251" s="186"/>
      <c r="Q1251" s="182"/>
      <c r="R1251" s="182"/>
      <c r="S1251" s="182"/>
      <c r="T1251" s="186"/>
      <c r="U1251" s="186"/>
      <c r="AA1251" s="35"/>
      <c r="AB1251" s="35"/>
    </row>
    <row r="1252" spans="2:28" x14ac:dyDescent="0.2">
      <c r="B1252" s="182"/>
      <c r="C1252" s="182"/>
      <c r="D1252" s="182"/>
      <c r="E1252" s="182"/>
      <c r="F1252" s="182"/>
      <c r="I1252" s="40"/>
      <c r="J1252" s="186"/>
      <c r="K1252" s="186"/>
      <c r="L1252" s="186"/>
      <c r="M1252" s="186"/>
      <c r="N1252" s="186"/>
      <c r="O1252" s="186"/>
      <c r="P1252" s="186"/>
      <c r="Q1252" s="182"/>
      <c r="R1252" s="182"/>
      <c r="S1252" s="182"/>
      <c r="T1252" s="186"/>
      <c r="U1252" s="186"/>
      <c r="AA1252" s="35"/>
      <c r="AB1252" s="35"/>
    </row>
    <row r="1253" spans="2:28" x14ac:dyDescent="0.2">
      <c r="B1253" s="182"/>
      <c r="C1253" s="182"/>
      <c r="D1253" s="182"/>
      <c r="E1253" s="182"/>
      <c r="F1253" s="182"/>
      <c r="I1253" s="40"/>
      <c r="J1253" s="186"/>
      <c r="K1253" s="186"/>
      <c r="L1253" s="186"/>
      <c r="M1253" s="186"/>
      <c r="N1253" s="186"/>
      <c r="O1253" s="186"/>
      <c r="P1253" s="186"/>
      <c r="Q1253" s="182"/>
      <c r="R1253" s="182"/>
      <c r="S1253" s="182"/>
      <c r="T1253" s="186"/>
      <c r="U1253" s="186"/>
      <c r="AA1253" s="35"/>
      <c r="AB1253" s="35"/>
    </row>
    <row r="1254" spans="2:28" x14ac:dyDescent="0.2">
      <c r="B1254" s="182"/>
      <c r="C1254" s="182"/>
      <c r="D1254" s="182"/>
      <c r="E1254" s="182"/>
      <c r="F1254" s="182"/>
      <c r="I1254" s="40"/>
      <c r="J1254" s="186"/>
      <c r="K1254" s="186"/>
      <c r="L1254" s="186"/>
      <c r="M1254" s="186"/>
      <c r="N1254" s="186"/>
      <c r="O1254" s="186"/>
      <c r="P1254" s="186"/>
      <c r="Q1254" s="182"/>
      <c r="R1254" s="182"/>
      <c r="S1254" s="182"/>
      <c r="T1254" s="186"/>
      <c r="U1254" s="186"/>
      <c r="AA1254" s="35"/>
      <c r="AB1254" s="35"/>
    </row>
    <row r="1255" spans="2:28" x14ac:dyDescent="0.2">
      <c r="B1255" s="182"/>
      <c r="C1255" s="182"/>
      <c r="D1255" s="182"/>
      <c r="E1255" s="182"/>
      <c r="F1255" s="182"/>
      <c r="I1255" s="40"/>
      <c r="J1255" s="186"/>
      <c r="K1255" s="186"/>
      <c r="L1255" s="186"/>
      <c r="M1255" s="186"/>
      <c r="N1255" s="186"/>
      <c r="O1255" s="186"/>
      <c r="P1255" s="186"/>
      <c r="Q1255" s="182"/>
      <c r="R1255" s="182"/>
      <c r="S1255" s="182"/>
      <c r="T1255" s="186"/>
      <c r="U1255" s="186"/>
      <c r="AA1255" s="35"/>
      <c r="AB1255" s="35"/>
    </row>
    <row r="1256" spans="2:28" x14ac:dyDescent="0.2">
      <c r="B1256" s="182"/>
      <c r="C1256" s="182"/>
      <c r="D1256" s="182"/>
      <c r="E1256" s="182"/>
      <c r="F1256" s="182"/>
      <c r="I1256" s="40"/>
      <c r="J1256" s="186"/>
      <c r="K1256" s="186"/>
      <c r="L1256" s="186"/>
      <c r="M1256" s="186"/>
      <c r="N1256" s="186"/>
      <c r="O1256" s="186"/>
      <c r="P1256" s="186"/>
      <c r="Q1256" s="182"/>
      <c r="R1256" s="182"/>
      <c r="S1256" s="182"/>
      <c r="T1256" s="186"/>
      <c r="U1256" s="186"/>
      <c r="AA1256" s="35"/>
      <c r="AB1256" s="35"/>
    </row>
    <row r="1257" spans="2:28" x14ac:dyDescent="0.2">
      <c r="B1257" s="182"/>
      <c r="C1257" s="182"/>
      <c r="D1257" s="182"/>
      <c r="E1257" s="182"/>
      <c r="F1257" s="182"/>
      <c r="I1257" s="40"/>
      <c r="J1257" s="186"/>
      <c r="K1257" s="186"/>
      <c r="L1257" s="186"/>
      <c r="M1257" s="186"/>
      <c r="N1257" s="186"/>
      <c r="O1257" s="186"/>
      <c r="P1257" s="186"/>
      <c r="Q1257" s="182"/>
      <c r="R1257" s="182"/>
      <c r="S1257" s="182"/>
      <c r="T1257" s="186"/>
      <c r="U1257" s="186"/>
      <c r="AA1257" s="35"/>
      <c r="AB1257" s="35"/>
    </row>
    <row r="1258" spans="2:28" x14ac:dyDescent="0.2">
      <c r="B1258" s="182"/>
      <c r="C1258" s="182"/>
      <c r="D1258" s="182"/>
      <c r="E1258" s="182"/>
      <c r="F1258" s="182"/>
      <c r="I1258" s="40"/>
      <c r="J1258" s="186"/>
      <c r="K1258" s="186"/>
      <c r="L1258" s="186"/>
      <c r="M1258" s="186"/>
      <c r="N1258" s="186"/>
      <c r="O1258" s="186"/>
      <c r="P1258" s="186"/>
      <c r="Q1258" s="182"/>
      <c r="R1258" s="182"/>
      <c r="S1258" s="182"/>
      <c r="T1258" s="186"/>
      <c r="U1258" s="186"/>
      <c r="AA1258" s="35"/>
      <c r="AB1258" s="35"/>
    </row>
    <row r="1259" spans="2:28" x14ac:dyDescent="0.2">
      <c r="B1259" s="182"/>
      <c r="C1259" s="182"/>
      <c r="D1259" s="182"/>
      <c r="E1259" s="182"/>
      <c r="F1259" s="182"/>
      <c r="I1259" s="40"/>
      <c r="J1259" s="186"/>
      <c r="K1259" s="186"/>
      <c r="L1259" s="186"/>
      <c r="M1259" s="186"/>
      <c r="N1259" s="186"/>
      <c r="O1259" s="186"/>
      <c r="P1259" s="186"/>
      <c r="Q1259" s="182"/>
      <c r="R1259" s="182"/>
      <c r="S1259" s="182"/>
      <c r="T1259" s="186"/>
      <c r="U1259" s="186"/>
      <c r="AA1259" s="35"/>
      <c r="AB1259" s="35"/>
    </row>
    <row r="1260" spans="2:28" x14ac:dyDescent="0.2">
      <c r="B1260" s="182"/>
      <c r="C1260" s="182"/>
      <c r="D1260" s="182"/>
      <c r="E1260" s="182"/>
      <c r="F1260" s="182"/>
      <c r="I1260" s="40"/>
      <c r="J1260" s="186"/>
      <c r="K1260" s="186"/>
      <c r="L1260" s="186"/>
      <c r="M1260" s="186"/>
      <c r="N1260" s="186"/>
      <c r="O1260" s="186"/>
      <c r="P1260" s="186"/>
      <c r="Q1260" s="182"/>
      <c r="R1260" s="182"/>
      <c r="S1260" s="182"/>
      <c r="T1260" s="186"/>
      <c r="U1260" s="186"/>
      <c r="AA1260" s="35"/>
      <c r="AB1260" s="35"/>
    </row>
    <row r="1261" spans="2:28" x14ac:dyDescent="0.2">
      <c r="B1261" s="182"/>
      <c r="C1261" s="182"/>
      <c r="D1261" s="182"/>
      <c r="E1261" s="182"/>
      <c r="F1261" s="182"/>
      <c r="I1261" s="40"/>
      <c r="J1261" s="186"/>
      <c r="K1261" s="186"/>
      <c r="L1261" s="186"/>
      <c r="M1261" s="186"/>
      <c r="N1261" s="186"/>
      <c r="O1261" s="186"/>
      <c r="P1261" s="186"/>
      <c r="Q1261" s="182"/>
      <c r="R1261" s="182"/>
      <c r="S1261" s="182"/>
      <c r="T1261" s="186"/>
      <c r="U1261" s="186"/>
      <c r="AA1261" s="35"/>
      <c r="AB1261" s="35"/>
    </row>
    <row r="1262" spans="2:28" x14ac:dyDescent="0.2">
      <c r="B1262" s="182"/>
      <c r="C1262" s="182"/>
      <c r="D1262" s="182"/>
      <c r="E1262" s="182"/>
      <c r="F1262" s="182"/>
      <c r="I1262" s="40"/>
      <c r="J1262" s="186"/>
      <c r="K1262" s="186"/>
      <c r="L1262" s="186"/>
      <c r="M1262" s="186"/>
      <c r="N1262" s="186"/>
      <c r="O1262" s="186"/>
      <c r="P1262" s="186"/>
      <c r="Q1262" s="182"/>
      <c r="R1262" s="182"/>
      <c r="S1262" s="182"/>
      <c r="T1262" s="186"/>
      <c r="U1262" s="186"/>
      <c r="AA1262" s="35"/>
      <c r="AB1262" s="35"/>
    </row>
    <row r="1263" spans="2:28" x14ac:dyDescent="0.2">
      <c r="B1263" s="182"/>
      <c r="C1263" s="182"/>
      <c r="D1263" s="182"/>
      <c r="E1263" s="182"/>
      <c r="F1263" s="182"/>
      <c r="I1263" s="40"/>
      <c r="J1263" s="186"/>
      <c r="K1263" s="186"/>
      <c r="L1263" s="186"/>
      <c r="M1263" s="186"/>
      <c r="N1263" s="186"/>
      <c r="O1263" s="186"/>
      <c r="P1263" s="186"/>
      <c r="Q1263" s="182"/>
      <c r="R1263" s="182"/>
      <c r="S1263" s="182"/>
      <c r="T1263" s="186"/>
      <c r="U1263" s="186"/>
      <c r="AA1263" s="35"/>
      <c r="AB1263" s="35"/>
    </row>
    <row r="1264" spans="2:28" x14ac:dyDescent="0.2">
      <c r="B1264" s="182"/>
      <c r="C1264" s="182"/>
      <c r="D1264" s="182"/>
      <c r="E1264" s="182"/>
      <c r="F1264" s="182"/>
      <c r="I1264" s="40"/>
      <c r="J1264" s="186"/>
      <c r="K1264" s="186"/>
      <c r="L1264" s="186"/>
      <c r="M1264" s="186"/>
      <c r="N1264" s="186"/>
      <c r="O1264" s="186"/>
      <c r="P1264" s="186"/>
      <c r="Q1264" s="182"/>
      <c r="R1264" s="182"/>
      <c r="S1264" s="182"/>
      <c r="T1264" s="186"/>
      <c r="U1264" s="186"/>
      <c r="AA1264" s="35"/>
      <c r="AB1264" s="35"/>
    </row>
    <row r="1265" spans="2:28" x14ac:dyDescent="0.2">
      <c r="B1265" s="182"/>
      <c r="C1265" s="182"/>
      <c r="D1265" s="182"/>
      <c r="E1265" s="182"/>
      <c r="F1265" s="182"/>
      <c r="I1265" s="40"/>
      <c r="J1265" s="186"/>
      <c r="K1265" s="186"/>
      <c r="L1265" s="186"/>
      <c r="M1265" s="186"/>
      <c r="N1265" s="186"/>
      <c r="O1265" s="186"/>
      <c r="P1265" s="186"/>
      <c r="Q1265" s="182"/>
      <c r="R1265" s="182"/>
      <c r="S1265" s="182"/>
      <c r="T1265" s="186"/>
      <c r="U1265" s="186"/>
      <c r="AA1265" s="35"/>
      <c r="AB1265" s="35"/>
    </row>
    <row r="1266" spans="2:28" x14ac:dyDescent="0.2">
      <c r="B1266" s="182"/>
      <c r="C1266" s="182"/>
      <c r="D1266" s="182"/>
      <c r="E1266" s="182"/>
      <c r="F1266" s="182"/>
      <c r="I1266" s="40"/>
      <c r="J1266" s="186"/>
      <c r="K1266" s="186"/>
      <c r="L1266" s="186"/>
      <c r="M1266" s="186"/>
      <c r="N1266" s="186"/>
      <c r="O1266" s="186"/>
      <c r="P1266" s="186"/>
      <c r="Q1266" s="182"/>
      <c r="R1266" s="182"/>
      <c r="S1266" s="182"/>
      <c r="T1266" s="186"/>
      <c r="U1266" s="186"/>
      <c r="AA1266" s="35"/>
      <c r="AB1266" s="35"/>
    </row>
    <row r="1267" spans="2:28" x14ac:dyDescent="0.2">
      <c r="B1267" s="182"/>
      <c r="C1267" s="182"/>
      <c r="D1267" s="182"/>
      <c r="E1267" s="182"/>
      <c r="F1267" s="182"/>
      <c r="I1267" s="40"/>
      <c r="J1267" s="186"/>
      <c r="K1267" s="186"/>
      <c r="L1267" s="186"/>
      <c r="M1267" s="186"/>
      <c r="N1267" s="186"/>
      <c r="O1267" s="186"/>
      <c r="P1267" s="186"/>
      <c r="Q1267" s="182"/>
      <c r="R1267" s="182"/>
      <c r="S1267" s="182"/>
      <c r="T1267" s="186"/>
      <c r="U1267" s="186"/>
      <c r="AA1267" s="35"/>
      <c r="AB1267" s="35"/>
    </row>
    <row r="1268" spans="2:28" x14ac:dyDescent="0.2">
      <c r="B1268" s="182"/>
      <c r="C1268" s="182"/>
      <c r="D1268" s="182"/>
      <c r="E1268" s="182"/>
      <c r="F1268" s="182"/>
      <c r="I1268" s="40"/>
      <c r="J1268" s="186"/>
      <c r="K1268" s="186"/>
      <c r="L1268" s="186"/>
      <c r="M1268" s="186"/>
      <c r="N1268" s="186"/>
      <c r="O1268" s="186"/>
      <c r="P1268" s="186"/>
      <c r="Q1268" s="182"/>
      <c r="R1268" s="182"/>
      <c r="S1268" s="182"/>
      <c r="T1268" s="186"/>
      <c r="U1268" s="186"/>
      <c r="AA1268" s="35"/>
      <c r="AB1268" s="35"/>
    </row>
    <row r="1269" spans="2:28" x14ac:dyDescent="0.2">
      <c r="B1269" s="182"/>
      <c r="C1269" s="182"/>
      <c r="D1269" s="182"/>
      <c r="E1269" s="182"/>
      <c r="F1269" s="182"/>
      <c r="I1269" s="40"/>
      <c r="J1269" s="186"/>
      <c r="K1269" s="186"/>
      <c r="L1269" s="186"/>
      <c r="M1269" s="186"/>
      <c r="N1269" s="186"/>
      <c r="O1269" s="186"/>
      <c r="P1269" s="186"/>
      <c r="Q1269" s="182"/>
      <c r="R1269" s="182"/>
      <c r="S1269" s="182"/>
      <c r="T1269" s="186"/>
      <c r="U1269" s="186"/>
      <c r="AA1269" s="35"/>
      <c r="AB1269" s="35"/>
    </row>
    <row r="1270" spans="2:28" x14ac:dyDescent="0.2">
      <c r="B1270" s="182"/>
      <c r="C1270" s="182"/>
      <c r="D1270" s="182"/>
      <c r="E1270" s="182"/>
      <c r="F1270" s="182"/>
      <c r="I1270" s="40"/>
      <c r="J1270" s="186"/>
      <c r="K1270" s="186"/>
      <c r="L1270" s="186"/>
      <c r="M1270" s="186"/>
      <c r="N1270" s="186"/>
      <c r="O1270" s="186"/>
      <c r="P1270" s="186"/>
      <c r="Q1270" s="182"/>
      <c r="R1270" s="182"/>
      <c r="S1270" s="182"/>
      <c r="T1270" s="186"/>
      <c r="U1270" s="186"/>
      <c r="AA1270" s="35"/>
      <c r="AB1270" s="35"/>
    </row>
    <row r="1271" spans="2:28" x14ac:dyDescent="0.2">
      <c r="B1271" s="182"/>
      <c r="C1271" s="182"/>
      <c r="D1271" s="182"/>
      <c r="E1271" s="182"/>
      <c r="F1271" s="182"/>
      <c r="I1271" s="40"/>
      <c r="J1271" s="186"/>
      <c r="K1271" s="186"/>
      <c r="L1271" s="186"/>
      <c r="M1271" s="186"/>
      <c r="N1271" s="186"/>
      <c r="O1271" s="186"/>
      <c r="P1271" s="186"/>
      <c r="Q1271" s="182"/>
      <c r="R1271" s="182"/>
      <c r="S1271" s="182"/>
      <c r="T1271" s="186"/>
      <c r="U1271" s="186"/>
      <c r="AA1271" s="35"/>
      <c r="AB1271" s="35"/>
    </row>
    <row r="1272" spans="2:28" x14ac:dyDescent="0.2">
      <c r="B1272" s="182"/>
      <c r="C1272" s="182"/>
      <c r="D1272" s="182"/>
      <c r="E1272" s="182"/>
      <c r="F1272" s="182"/>
      <c r="I1272" s="40"/>
      <c r="J1272" s="186"/>
      <c r="K1272" s="186"/>
      <c r="L1272" s="186"/>
      <c r="M1272" s="186"/>
      <c r="N1272" s="186"/>
      <c r="O1272" s="186"/>
      <c r="P1272" s="186"/>
      <c r="Q1272" s="182"/>
      <c r="R1272" s="182"/>
      <c r="S1272" s="182"/>
      <c r="T1272" s="186"/>
      <c r="U1272" s="186"/>
      <c r="AA1272" s="35"/>
      <c r="AB1272" s="35"/>
    </row>
    <row r="1273" spans="2:28" x14ac:dyDescent="0.2">
      <c r="B1273" s="182"/>
      <c r="C1273" s="182"/>
      <c r="D1273" s="182"/>
      <c r="E1273" s="182"/>
      <c r="F1273" s="182"/>
      <c r="I1273" s="40"/>
      <c r="J1273" s="186"/>
      <c r="K1273" s="186"/>
      <c r="L1273" s="186"/>
      <c r="M1273" s="186"/>
      <c r="N1273" s="186"/>
      <c r="O1273" s="186"/>
      <c r="P1273" s="186"/>
      <c r="Q1273" s="182"/>
      <c r="R1273" s="182"/>
      <c r="S1273" s="182"/>
      <c r="T1273" s="186"/>
      <c r="U1273" s="186"/>
      <c r="AA1273" s="35"/>
      <c r="AB1273" s="35"/>
    </row>
    <row r="1274" spans="2:28" x14ac:dyDescent="0.2">
      <c r="B1274" s="182"/>
      <c r="C1274" s="182"/>
      <c r="D1274" s="182"/>
      <c r="E1274" s="182"/>
      <c r="F1274" s="182"/>
      <c r="I1274" s="40"/>
      <c r="J1274" s="186"/>
      <c r="K1274" s="186"/>
      <c r="L1274" s="186"/>
      <c r="M1274" s="186"/>
      <c r="N1274" s="186"/>
      <c r="O1274" s="186"/>
      <c r="P1274" s="186"/>
      <c r="Q1274" s="182"/>
      <c r="R1274" s="182"/>
      <c r="S1274" s="182"/>
      <c r="T1274" s="186"/>
      <c r="U1274" s="186"/>
      <c r="AA1274" s="35"/>
      <c r="AB1274" s="35"/>
    </row>
    <row r="1275" spans="2:28" x14ac:dyDescent="0.2">
      <c r="B1275" s="182"/>
      <c r="C1275" s="182"/>
      <c r="D1275" s="182"/>
      <c r="E1275" s="182"/>
      <c r="F1275" s="182"/>
      <c r="I1275" s="40"/>
      <c r="J1275" s="186"/>
      <c r="K1275" s="186"/>
      <c r="L1275" s="186"/>
      <c r="M1275" s="186"/>
      <c r="N1275" s="186"/>
      <c r="O1275" s="186"/>
      <c r="P1275" s="186"/>
      <c r="Q1275" s="182"/>
      <c r="R1275" s="182"/>
      <c r="S1275" s="182"/>
      <c r="T1275" s="186"/>
      <c r="U1275" s="186"/>
      <c r="AA1275" s="35"/>
      <c r="AB1275" s="35"/>
    </row>
    <row r="1276" spans="2:28" x14ac:dyDescent="0.2">
      <c r="B1276" s="182"/>
      <c r="C1276" s="182"/>
      <c r="D1276" s="182"/>
      <c r="E1276" s="182"/>
      <c r="F1276" s="182"/>
      <c r="I1276" s="40"/>
      <c r="J1276" s="186"/>
      <c r="K1276" s="186"/>
      <c r="L1276" s="186"/>
      <c r="M1276" s="186"/>
      <c r="N1276" s="186"/>
      <c r="O1276" s="186"/>
      <c r="P1276" s="186"/>
      <c r="Q1276" s="182"/>
      <c r="R1276" s="182"/>
      <c r="S1276" s="182"/>
      <c r="T1276" s="186"/>
      <c r="U1276" s="186"/>
      <c r="AA1276" s="35"/>
      <c r="AB1276" s="35"/>
    </row>
    <row r="1277" spans="2:28" x14ac:dyDescent="0.2">
      <c r="B1277" s="182"/>
      <c r="C1277" s="182"/>
      <c r="D1277" s="182"/>
      <c r="E1277" s="182"/>
      <c r="F1277" s="182"/>
      <c r="I1277" s="40"/>
      <c r="J1277" s="186"/>
      <c r="K1277" s="186"/>
      <c r="L1277" s="186"/>
      <c r="M1277" s="186"/>
      <c r="N1277" s="186"/>
      <c r="O1277" s="186"/>
      <c r="P1277" s="186"/>
      <c r="Q1277" s="182"/>
      <c r="R1277" s="182"/>
      <c r="S1277" s="182"/>
      <c r="T1277" s="186"/>
      <c r="U1277" s="186"/>
      <c r="AA1277" s="35"/>
      <c r="AB1277" s="35"/>
    </row>
    <row r="1278" spans="2:28" x14ac:dyDescent="0.2">
      <c r="B1278" s="182"/>
      <c r="C1278" s="182"/>
      <c r="D1278" s="182"/>
      <c r="E1278" s="182"/>
      <c r="F1278" s="182"/>
      <c r="I1278" s="40"/>
      <c r="J1278" s="186"/>
      <c r="K1278" s="186"/>
      <c r="L1278" s="186"/>
      <c r="M1278" s="186"/>
      <c r="N1278" s="186"/>
      <c r="O1278" s="186"/>
      <c r="P1278" s="186"/>
      <c r="Q1278" s="182"/>
      <c r="R1278" s="182"/>
      <c r="S1278" s="182"/>
      <c r="T1278" s="186"/>
      <c r="U1278" s="186"/>
      <c r="AA1278" s="35"/>
      <c r="AB1278" s="35"/>
    </row>
    <row r="1279" spans="2:28" x14ac:dyDescent="0.2">
      <c r="B1279" s="182"/>
      <c r="C1279" s="182"/>
      <c r="D1279" s="182"/>
      <c r="E1279" s="182"/>
      <c r="F1279" s="182"/>
      <c r="I1279" s="40"/>
      <c r="J1279" s="186"/>
      <c r="K1279" s="186"/>
      <c r="L1279" s="186"/>
      <c r="M1279" s="186"/>
      <c r="N1279" s="186"/>
      <c r="O1279" s="186"/>
      <c r="P1279" s="186"/>
      <c r="Q1279" s="182"/>
      <c r="R1279" s="182"/>
      <c r="S1279" s="182"/>
      <c r="T1279" s="186"/>
      <c r="U1279" s="186"/>
      <c r="AA1279" s="35"/>
      <c r="AB1279" s="35"/>
    </row>
    <row r="1280" spans="2:28" x14ac:dyDescent="0.2">
      <c r="B1280" s="182"/>
      <c r="C1280" s="182"/>
      <c r="D1280" s="182"/>
      <c r="E1280" s="182"/>
      <c r="F1280" s="182"/>
      <c r="I1280" s="40"/>
      <c r="J1280" s="186"/>
      <c r="K1280" s="186"/>
      <c r="L1280" s="186"/>
      <c r="M1280" s="186"/>
      <c r="N1280" s="186"/>
      <c r="O1280" s="186"/>
      <c r="P1280" s="186"/>
      <c r="Q1280" s="182"/>
      <c r="R1280" s="182"/>
      <c r="S1280" s="182"/>
      <c r="T1280" s="186"/>
      <c r="U1280" s="186"/>
      <c r="AA1280" s="35"/>
      <c r="AB1280" s="35"/>
    </row>
    <row r="1281" spans="2:28" x14ac:dyDescent="0.2">
      <c r="B1281" s="182"/>
      <c r="C1281" s="182"/>
      <c r="D1281" s="182"/>
      <c r="E1281" s="182"/>
      <c r="F1281" s="182"/>
      <c r="I1281" s="40"/>
      <c r="J1281" s="186"/>
      <c r="K1281" s="186"/>
      <c r="L1281" s="186"/>
      <c r="M1281" s="186"/>
      <c r="N1281" s="186"/>
      <c r="O1281" s="186"/>
      <c r="P1281" s="186"/>
      <c r="Q1281" s="182"/>
      <c r="R1281" s="182"/>
      <c r="S1281" s="182"/>
      <c r="T1281" s="186"/>
      <c r="U1281" s="186"/>
      <c r="AA1281" s="35"/>
      <c r="AB1281" s="35"/>
    </row>
    <row r="1282" spans="2:28" x14ac:dyDescent="0.2">
      <c r="B1282" s="182"/>
      <c r="C1282" s="182"/>
      <c r="D1282" s="182"/>
      <c r="E1282" s="182"/>
      <c r="F1282" s="182"/>
      <c r="I1282" s="40"/>
      <c r="J1282" s="186"/>
      <c r="K1282" s="186"/>
      <c r="L1282" s="186"/>
      <c r="M1282" s="186"/>
      <c r="N1282" s="186"/>
      <c r="O1282" s="186"/>
      <c r="P1282" s="186"/>
      <c r="Q1282" s="182"/>
      <c r="R1282" s="182"/>
      <c r="S1282" s="182"/>
      <c r="T1282" s="186"/>
      <c r="U1282" s="186"/>
      <c r="AA1282" s="35"/>
      <c r="AB1282" s="35"/>
    </row>
    <row r="1283" spans="2:28" x14ac:dyDescent="0.2">
      <c r="B1283" s="182"/>
      <c r="C1283" s="182"/>
      <c r="D1283" s="182"/>
      <c r="E1283" s="182"/>
      <c r="F1283" s="182"/>
      <c r="I1283" s="40"/>
      <c r="J1283" s="186"/>
      <c r="K1283" s="186"/>
      <c r="L1283" s="186"/>
      <c r="M1283" s="186"/>
      <c r="N1283" s="186"/>
      <c r="O1283" s="186"/>
      <c r="P1283" s="186"/>
      <c r="Q1283" s="182"/>
      <c r="R1283" s="182"/>
      <c r="S1283" s="182"/>
      <c r="T1283" s="186"/>
      <c r="U1283" s="186"/>
      <c r="AA1283" s="35"/>
      <c r="AB1283" s="35"/>
    </row>
    <row r="1284" spans="2:28" x14ac:dyDescent="0.2">
      <c r="B1284" s="182"/>
      <c r="C1284" s="182"/>
      <c r="D1284" s="182"/>
      <c r="E1284" s="182"/>
      <c r="F1284" s="182"/>
      <c r="I1284" s="40"/>
      <c r="J1284" s="186"/>
      <c r="K1284" s="186"/>
      <c r="L1284" s="186"/>
      <c r="M1284" s="186"/>
      <c r="N1284" s="186"/>
      <c r="O1284" s="186"/>
      <c r="P1284" s="186"/>
      <c r="Q1284" s="182"/>
      <c r="R1284" s="182"/>
      <c r="S1284" s="182"/>
      <c r="T1284" s="186"/>
      <c r="U1284" s="186"/>
      <c r="AA1284" s="35"/>
      <c r="AB1284" s="35"/>
    </row>
    <row r="1285" spans="2:28" x14ac:dyDescent="0.2">
      <c r="B1285" s="182"/>
      <c r="C1285" s="182"/>
      <c r="D1285" s="182"/>
      <c r="E1285" s="182"/>
      <c r="F1285" s="182"/>
      <c r="I1285" s="40"/>
      <c r="J1285" s="186"/>
      <c r="K1285" s="186"/>
      <c r="L1285" s="186"/>
      <c r="M1285" s="186"/>
      <c r="N1285" s="186"/>
      <c r="O1285" s="186"/>
      <c r="P1285" s="186"/>
      <c r="Q1285" s="182"/>
      <c r="R1285" s="182"/>
      <c r="S1285" s="182"/>
      <c r="T1285" s="186"/>
      <c r="U1285" s="186"/>
      <c r="AA1285" s="35"/>
      <c r="AB1285" s="35"/>
    </row>
    <row r="1286" spans="2:28" x14ac:dyDescent="0.2">
      <c r="B1286" s="182"/>
      <c r="C1286" s="182"/>
      <c r="D1286" s="182"/>
      <c r="E1286" s="182"/>
      <c r="F1286" s="182"/>
      <c r="I1286" s="40"/>
      <c r="J1286" s="186"/>
      <c r="K1286" s="186"/>
      <c r="L1286" s="186"/>
      <c r="M1286" s="186"/>
      <c r="N1286" s="186"/>
      <c r="O1286" s="186"/>
      <c r="P1286" s="186"/>
      <c r="Q1286" s="182"/>
      <c r="R1286" s="182"/>
      <c r="S1286" s="182"/>
      <c r="T1286" s="186"/>
      <c r="U1286" s="186"/>
      <c r="AA1286" s="35"/>
      <c r="AB1286" s="35"/>
    </row>
    <row r="1287" spans="2:28" x14ac:dyDescent="0.2">
      <c r="B1287" s="182"/>
      <c r="C1287" s="182"/>
      <c r="D1287" s="182"/>
      <c r="E1287" s="182"/>
      <c r="F1287" s="182"/>
      <c r="I1287" s="40"/>
      <c r="J1287" s="186"/>
      <c r="K1287" s="186"/>
      <c r="L1287" s="186"/>
      <c r="M1287" s="186"/>
      <c r="N1287" s="186"/>
      <c r="O1287" s="186"/>
      <c r="P1287" s="186"/>
      <c r="Q1287" s="182"/>
      <c r="R1287" s="182"/>
      <c r="S1287" s="182"/>
      <c r="T1287" s="186"/>
      <c r="U1287" s="186"/>
      <c r="AA1287" s="35"/>
      <c r="AB1287" s="35"/>
    </row>
    <row r="1288" spans="2:28" x14ac:dyDescent="0.2">
      <c r="B1288" s="182"/>
      <c r="C1288" s="182"/>
      <c r="D1288" s="182"/>
      <c r="E1288" s="182"/>
      <c r="F1288" s="182"/>
      <c r="I1288" s="40"/>
      <c r="J1288" s="186"/>
      <c r="K1288" s="186"/>
      <c r="L1288" s="186"/>
      <c r="M1288" s="186"/>
      <c r="N1288" s="186"/>
      <c r="O1288" s="186"/>
      <c r="P1288" s="186"/>
      <c r="Q1288" s="182"/>
      <c r="R1288" s="182"/>
      <c r="S1288" s="182"/>
      <c r="T1288" s="186"/>
      <c r="U1288" s="186"/>
      <c r="AA1288" s="35"/>
      <c r="AB1288" s="35"/>
    </row>
    <row r="1289" spans="2:28" x14ac:dyDescent="0.2">
      <c r="B1289" s="182"/>
      <c r="C1289" s="182"/>
      <c r="D1289" s="182"/>
      <c r="E1289" s="182"/>
      <c r="F1289" s="182"/>
      <c r="I1289" s="40"/>
      <c r="J1289" s="186"/>
      <c r="K1289" s="186"/>
      <c r="L1289" s="186"/>
      <c r="M1289" s="186"/>
      <c r="N1289" s="186"/>
      <c r="O1289" s="186"/>
      <c r="P1289" s="186"/>
      <c r="Q1289" s="182"/>
      <c r="R1289" s="182"/>
      <c r="S1289" s="182"/>
      <c r="T1289" s="186"/>
      <c r="U1289" s="186"/>
      <c r="AA1289" s="35"/>
      <c r="AB1289" s="35"/>
    </row>
    <row r="1290" spans="2:28" x14ac:dyDescent="0.2">
      <c r="B1290" s="182"/>
      <c r="C1290" s="182"/>
      <c r="D1290" s="182"/>
      <c r="E1290" s="182"/>
      <c r="F1290" s="182"/>
      <c r="I1290" s="40"/>
      <c r="J1290" s="186"/>
      <c r="K1290" s="186"/>
      <c r="L1290" s="186"/>
      <c r="M1290" s="186"/>
      <c r="N1290" s="186"/>
      <c r="O1290" s="186"/>
      <c r="P1290" s="186"/>
      <c r="Q1290" s="182"/>
      <c r="R1290" s="182"/>
      <c r="S1290" s="182"/>
      <c r="T1290" s="186"/>
      <c r="U1290" s="186"/>
      <c r="AA1290" s="35"/>
      <c r="AB1290" s="35"/>
    </row>
    <row r="1291" spans="2:28" x14ac:dyDescent="0.2">
      <c r="B1291" s="182"/>
      <c r="C1291" s="182"/>
      <c r="D1291" s="182"/>
      <c r="E1291" s="182"/>
      <c r="F1291" s="182"/>
      <c r="I1291" s="40"/>
      <c r="J1291" s="186"/>
      <c r="K1291" s="186"/>
      <c r="L1291" s="186"/>
      <c r="M1291" s="186"/>
      <c r="N1291" s="186"/>
      <c r="O1291" s="186"/>
      <c r="P1291" s="186"/>
      <c r="Q1291" s="182"/>
      <c r="R1291" s="182"/>
      <c r="S1291" s="182"/>
      <c r="T1291" s="186"/>
      <c r="U1291" s="186"/>
      <c r="AA1291" s="35"/>
      <c r="AB1291" s="35"/>
    </row>
    <row r="1292" spans="2:28" x14ac:dyDescent="0.2">
      <c r="B1292" s="182"/>
      <c r="C1292" s="182"/>
      <c r="D1292" s="182"/>
      <c r="E1292" s="182"/>
      <c r="F1292" s="182"/>
      <c r="I1292" s="40"/>
      <c r="J1292" s="186"/>
      <c r="K1292" s="186"/>
      <c r="L1292" s="186"/>
      <c r="M1292" s="186"/>
      <c r="N1292" s="186"/>
      <c r="O1292" s="186"/>
      <c r="P1292" s="186"/>
      <c r="Q1292" s="182"/>
      <c r="R1292" s="182"/>
      <c r="S1292" s="182"/>
      <c r="T1292" s="186"/>
      <c r="U1292" s="186"/>
      <c r="AA1292" s="35"/>
      <c r="AB1292" s="35"/>
    </row>
    <row r="1293" spans="2:28" x14ac:dyDescent="0.2">
      <c r="B1293" s="182"/>
      <c r="C1293" s="182"/>
      <c r="D1293" s="182"/>
      <c r="E1293" s="182"/>
      <c r="F1293" s="182"/>
      <c r="I1293" s="40"/>
      <c r="J1293" s="186"/>
      <c r="K1293" s="186"/>
      <c r="L1293" s="186"/>
      <c r="M1293" s="186"/>
      <c r="N1293" s="186"/>
      <c r="O1293" s="186"/>
      <c r="P1293" s="186"/>
      <c r="Q1293" s="182"/>
      <c r="R1293" s="182"/>
      <c r="S1293" s="182"/>
      <c r="T1293" s="186"/>
      <c r="U1293" s="186"/>
      <c r="AA1293" s="35"/>
      <c r="AB1293" s="35"/>
    </row>
    <row r="1294" spans="2:28" x14ac:dyDescent="0.2">
      <c r="B1294" s="182"/>
      <c r="C1294" s="182"/>
      <c r="D1294" s="182"/>
      <c r="E1294" s="182"/>
      <c r="F1294" s="182"/>
      <c r="I1294" s="40"/>
      <c r="J1294" s="186"/>
      <c r="K1294" s="186"/>
      <c r="L1294" s="186"/>
      <c r="M1294" s="186"/>
      <c r="N1294" s="186"/>
      <c r="O1294" s="186"/>
      <c r="P1294" s="186"/>
      <c r="Q1294" s="182"/>
      <c r="R1294" s="182"/>
      <c r="S1294" s="182"/>
      <c r="T1294" s="186"/>
      <c r="U1294" s="186"/>
      <c r="AA1294" s="35"/>
      <c r="AB1294" s="35"/>
    </row>
    <row r="1295" spans="2:28" x14ac:dyDescent="0.2">
      <c r="B1295" s="182"/>
      <c r="C1295" s="182"/>
      <c r="D1295" s="182"/>
      <c r="E1295" s="182"/>
      <c r="F1295" s="182"/>
      <c r="I1295" s="40"/>
      <c r="J1295" s="186"/>
      <c r="K1295" s="186"/>
      <c r="L1295" s="186"/>
      <c r="M1295" s="186"/>
      <c r="N1295" s="186"/>
      <c r="O1295" s="186"/>
      <c r="P1295" s="186"/>
      <c r="Q1295" s="182"/>
      <c r="R1295" s="182"/>
      <c r="S1295" s="182"/>
      <c r="T1295" s="186"/>
      <c r="U1295" s="186"/>
      <c r="AA1295" s="35"/>
      <c r="AB1295" s="35"/>
    </row>
    <row r="1296" spans="2:28" x14ac:dyDescent="0.2">
      <c r="B1296" s="182"/>
      <c r="C1296" s="182"/>
      <c r="D1296" s="182"/>
      <c r="E1296" s="182"/>
      <c r="F1296" s="182"/>
      <c r="I1296" s="40"/>
      <c r="J1296" s="186"/>
      <c r="K1296" s="186"/>
      <c r="L1296" s="186"/>
      <c r="M1296" s="186"/>
      <c r="N1296" s="186"/>
      <c r="O1296" s="186"/>
      <c r="P1296" s="186"/>
      <c r="Q1296" s="182"/>
      <c r="R1296" s="182"/>
      <c r="S1296" s="182"/>
      <c r="T1296" s="186"/>
      <c r="U1296" s="186"/>
      <c r="AA1296" s="35"/>
      <c r="AB1296" s="35"/>
    </row>
    <row r="1297" spans="2:28" x14ac:dyDescent="0.2">
      <c r="B1297" s="182"/>
      <c r="C1297" s="182"/>
      <c r="D1297" s="182"/>
      <c r="E1297" s="182"/>
      <c r="F1297" s="182"/>
      <c r="I1297" s="40"/>
      <c r="J1297" s="186"/>
      <c r="K1297" s="186"/>
      <c r="L1297" s="186"/>
      <c r="M1297" s="186"/>
      <c r="N1297" s="186"/>
      <c r="O1297" s="186"/>
      <c r="P1297" s="186"/>
      <c r="Q1297" s="182"/>
      <c r="R1297" s="182"/>
      <c r="S1297" s="182"/>
      <c r="T1297" s="186"/>
      <c r="U1297" s="186"/>
      <c r="AA1297" s="35"/>
      <c r="AB1297" s="35"/>
    </row>
    <row r="1298" spans="2:28" x14ac:dyDescent="0.2">
      <c r="B1298" s="182"/>
      <c r="C1298" s="182"/>
      <c r="D1298" s="182"/>
      <c r="E1298" s="182"/>
      <c r="F1298" s="182"/>
      <c r="I1298" s="40"/>
      <c r="J1298" s="186"/>
      <c r="K1298" s="186"/>
      <c r="L1298" s="186"/>
      <c r="M1298" s="186"/>
      <c r="N1298" s="186"/>
      <c r="O1298" s="186"/>
      <c r="P1298" s="186"/>
      <c r="Q1298" s="182"/>
      <c r="R1298" s="182"/>
      <c r="S1298" s="182"/>
      <c r="T1298" s="186"/>
      <c r="U1298" s="186"/>
      <c r="AA1298" s="35"/>
      <c r="AB1298" s="35"/>
    </row>
    <row r="1299" spans="2:28" x14ac:dyDescent="0.2">
      <c r="B1299" s="182"/>
      <c r="C1299" s="182"/>
      <c r="D1299" s="182"/>
      <c r="E1299" s="182"/>
      <c r="F1299" s="182"/>
      <c r="I1299" s="40"/>
      <c r="J1299" s="186"/>
      <c r="K1299" s="186"/>
      <c r="L1299" s="186"/>
      <c r="M1299" s="186"/>
      <c r="N1299" s="186"/>
      <c r="O1299" s="186"/>
      <c r="P1299" s="186"/>
      <c r="Q1299" s="182"/>
      <c r="R1299" s="182"/>
      <c r="S1299" s="182"/>
      <c r="T1299" s="186"/>
      <c r="U1299" s="186"/>
      <c r="AA1299" s="35"/>
      <c r="AB1299" s="35"/>
    </row>
    <row r="1300" spans="2:28" x14ac:dyDescent="0.2">
      <c r="B1300" s="182"/>
      <c r="C1300" s="182"/>
      <c r="D1300" s="182"/>
      <c r="E1300" s="182"/>
      <c r="F1300" s="182"/>
      <c r="I1300" s="40"/>
      <c r="J1300" s="186"/>
      <c r="K1300" s="186"/>
      <c r="L1300" s="186"/>
      <c r="M1300" s="186"/>
      <c r="N1300" s="186"/>
      <c r="O1300" s="186"/>
      <c r="P1300" s="186"/>
      <c r="Q1300" s="182"/>
      <c r="R1300" s="182"/>
      <c r="S1300" s="182"/>
      <c r="T1300" s="186"/>
      <c r="U1300" s="186"/>
      <c r="AA1300" s="35"/>
      <c r="AB1300" s="35"/>
    </row>
    <row r="1301" spans="2:28" x14ac:dyDescent="0.2">
      <c r="B1301" s="182"/>
      <c r="C1301" s="182"/>
      <c r="D1301" s="182"/>
      <c r="E1301" s="182"/>
      <c r="F1301" s="182"/>
      <c r="I1301" s="40"/>
      <c r="J1301" s="186"/>
      <c r="K1301" s="186"/>
      <c r="L1301" s="186"/>
      <c r="M1301" s="186"/>
      <c r="N1301" s="186"/>
      <c r="O1301" s="186"/>
      <c r="P1301" s="186"/>
      <c r="Q1301" s="182"/>
      <c r="R1301" s="182"/>
      <c r="S1301" s="182"/>
      <c r="T1301" s="186"/>
      <c r="U1301" s="186"/>
      <c r="AA1301" s="35"/>
      <c r="AB1301" s="35"/>
    </row>
    <row r="1302" spans="2:28" x14ac:dyDescent="0.2">
      <c r="B1302" s="182"/>
      <c r="C1302" s="182"/>
      <c r="D1302" s="182"/>
      <c r="E1302" s="182"/>
      <c r="F1302" s="182"/>
      <c r="I1302" s="40"/>
      <c r="J1302" s="186"/>
      <c r="K1302" s="186"/>
      <c r="L1302" s="186"/>
      <c r="M1302" s="186"/>
      <c r="N1302" s="186"/>
      <c r="O1302" s="186"/>
      <c r="P1302" s="186"/>
      <c r="Q1302" s="182"/>
      <c r="R1302" s="182"/>
      <c r="S1302" s="182"/>
      <c r="T1302" s="186"/>
      <c r="U1302" s="186"/>
      <c r="AA1302" s="35"/>
      <c r="AB1302" s="35"/>
    </row>
    <row r="1303" spans="2:28" x14ac:dyDescent="0.2">
      <c r="B1303" s="182"/>
      <c r="C1303" s="182"/>
      <c r="D1303" s="182"/>
      <c r="E1303" s="182"/>
      <c r="F1303" s="182"/>
      <c r="I1303" s="40"/>
      <c r="J1303" s="186"/>
      <c r="K1303" s="186"/>
      <c r="L1303" s="186"/>
      <c r="M1303" s="186"/>
      <c r="N1303" s="186"/>
      <c r="O1303" s="186"/>
      <c r="P1303" s="186"/>
      <c r="Q1303" s="182"/>
      <c r="R1303" s="182"/>
      <c r="S1303" s="182"/>
      <c r="T1303" s="186"/>
      <c r="U1303" s="186"/>
      <c r="AA1303" s="35"/>
      <c r="AB1303" s="35"/>
    </row>
    <row r="1304" spans="2:28" x14ac:dyDescent="0.2">
      <c r="B1304" s="182"/>
      <c r="C1304" s="182"/>
      <c r="D1304" s="182"/>
      <c r="E1304" s="182"/>
      <c r="F1304" s="182"/>
      <c r="I1304" s="40"/>
      <c r="J1304" s="186"/>
      <c r="K1304" s="186"/>
      <c r="L1304" s="186"/>
      <c r="M1304" s="186"/>
      <c r="N1304" s="186"/>
      <c r="O1304" s="186"/>
      <c r="P1304" s="186"/>
      <c r="Q1304" s="182"/>
      <c r="R1304" s="182"/>
      <c r="S1304" s="182"/>
      <c r="T1304" s="186"/>
      <c r="U1304" s="186"/>
      <c r="AA1304" s="35"/>
      <c r="AB1304" s="35"/>
    </row>
    <row r="1305" spans="2:28" x14ac:dyDescent="0.2">
      <c r="B1305" s="182"/>
      <c r="C1305" s="182"/>
      <c r="D1305" s="182"/>
      <c r="E1305" s="182"/>
      <c r="F1305" s="182"/>
      <c r="I1305" s="40"/>
      <c r="J1305" s="186"/>
      <c r="K1305" s="186"/>
      <c r="L1305" s="186"/>
      <c r="M1305" s="186"/>
      <c r="N1305" s="186"/>
      <c r="O1305" s="186"/>
      <c r="P1305" s="186"/>
      <c r="Q1305" s="182"/>
      <c r="R1305" s="182"/>
      <c r="S1305" s="182"/>
      <c r="T1305" s="186"/>
      <c r="U1305" s="186"/>
      <c r="AA1305" s="35"/>
      <c r="AB1305" s="35"/>
    </row>
    <row r="1306" spans="2:28" x14ac:dyDescent="0.2">
      <c r="B1306" s="182"/>
      <c r="C1306" s="182"/>
      <c r="D1306" s="182"/>
      <c r="E1306" s="182"/>
      <c r="F1306" s="182"/>
      <c r="I1306" s="40"/>
      <c r="J1306" s="186"/>
      <c r="K1306" s="186"/>
      <c r="L1306" s="186"/>
      <c r="M1306" s="186"/>
      <c r="N1306" s="186"/>
      <c r="O1306" s="186"/>
      <c r="P1306" s="186"/>
      <c r="Q1306" s="182"/>
      <c r="R1306" s="182"/>
      <c r="S1306" s="182"/>
      <c r="T1306" s="186"/>
      <c r="U1306" s="186"/>
      <c r="AA1306" s="35"/>
      <c r="AB1306" s="35"/>
    </row>
    <row r="1307" spans="2:28" x14ac:dyDescent="0.2">
      <c r="B1307" s="182"/>
      <c r="C1307" s="182"/>
      <c r="D1307" s="182"/>
      <c r="E1307" s="182"/>
      <c r="F1307" s="182"/>
      <c r="I1307" s="40"/>
      <c r="J1307" s="186"/>
      <c r="K1307" s="186"/>
      <c r="L1307" s="186"/>
      <c r="M1307" s="186"/>
      <c r="N1307" s="186"/>
      <c r="O1307" s="186"/>
      <c r="P1307" s="186"/>
      <c r="Q1307" s="182"/>
      <c r="R1307" s="182"/>
      <c r="S1307" s="182"/>
      <c r="T1307" s="186"/>
      <c r="U1307" s="186"/>
      <c r="AA1307" s="35"/>
      <c r="AB1307" s="35"/>
    </row>
    <row r="1308" spans="2:28" x14ac:dyDescent="0.2">
      <c r="B1308" s="182"/>
      <c r="C1308" s="182"/>
      <c r="D1308" s="182"/>
      <c r="E1308" s="182"/>
      <c r="F1308" s="182"/>
      <c r="I1308" s="40"/>
      <c r="J1308" s="186"/>
      <c r="K1308" s="186"/>
      <c r="L1308" s="186"/>
      <c r="M1308" s="186"/>
      <c r="N1308" s="186"/>
      <c r="O1308" s="186"/>
      <c r="P1308" s="186"/>
      <c r="Q1308" s="182"/>
      <c r="R1308" s="182"/>
      <c r="S1308" s="182"/>
      <c r="T1308" s="186"/>
      <c r="U1308" s="186"/>
      <c r="AA1308" s="35"/>
      <c r="AB1308" s="35"/>
    </row>
    <row r="1309" spans="2:28" x14ac:dyDescent="0.2">
      <c r="B1309" s="182"/>
      <c r="C1309" s="182"/>
      <c r="D1309" s="182"/>
      <c r="E1309" s="182"/>
      <c r="F1309" s="182"/>
      <c r="I1309" s="40"/>
      <c r="J1309" s="186"/>
      <c r="K1309" s="186"/>
      <c r="L1309" s="186"/>
      <c r="M1309" s="186"/>
      <c r="N1309" s="186"/>
      <c r="O1309" s="186"/>
      <c r="P1309" s="186"/>
      <c r="Q1309" s="182"/>
      <c r="R1309" s="182"/>
      <c r="S1309" s="182"/>
      <c r="T1309" s="186"/>
      <c r="U1309" s="186"/>
      <c r="AA1309" s="35"/>
      <c r="AB1309" s="35"/>
    </row>
    <row r="1310" spans="2:28" x14ac:dyDescent="0.2">
      <c r="B1310" s="182"/>
      <c r="C1310" s="182"/>
      <c r="D1310" s="182"/>
      <c r="E1310" s="182"/>
      <c r="F1310" s="182"/>
      <c r="I1310" s="40"/>
      <c r="J1310" s="186"/>
      <c r="K1310" s="186"/>
      <c r="L1310" s="186"/>
      <c r="M1310" s="186"/>
      <c r="N1310" s="186"/>
      <c r="O1310" s="186"/>
      <c r="P1310" s="186"/>
      <c r="Q1310" s="182"/>
      <c r="R1310" s="182"/>
      <c r="S1310" s="182"/>
      <c r="T1310" s="186"/>
      <c r="U1310" s="186"/>
      <c r="AA1310" s="35"/>
      <c r="AB1310" s="35"/>
    </row>
    <row r="1311" spans="2:28" x14ac:dyDescent="0.2">
      <c r="B1311" s="182"/>
      <c r="C1311" s="182"/>
      <c r="D1311" s="182"/>
      <c r="E1311" s="182"/>
      <c r="F1311" s="182"/>
      <c r="I1311" s="40"/>
      <c r="J1311" s="186"/>
      <c r="K1311" s="186"/>
      <c r="L1311" s="186"/>
      <c r="M1311" s="186"/>
      <c r="N1311" s="186"/>
      <c r="O1311" s="186"/>
      <c r="P1311" s="186"/>
      <c r="Q1311" s="182"/>
      <c r="R1311" s="182"/>
      <c r="S1311" s="182"/>
      <c r="T1311" s="186"/>
      <c r="U1311" s="186"/>
      <c r="AA1311" s="35"/>
      <c r="AB1311" s="35"/>
    </row>
    <row r="1312" spans="2:28" x14ac:dyDescent="0.2">
      <c r="B1312" s="182"/>
      <c r="C1312" s="182"/>
      <c r="D1312" s="182"/>
      <c r="E1312" s="182"/>
      <c r="F1312" s="182"/>
      <c r="I1312" s="40"/>
      <c r="J1312" s="186"/>
      <c r="K1312" s="186"/>
      <c r="L1312" s="186"/>
      <c r="M1312" s="186"/>
      <c r="N1312" s="186"/>
      <c r="O1312" s="186"/>
      <c r="P1312" s="186"/>
      <c r="Q1312" s="182"/>
      <c r="R1312" s="182"/>
      <c r="S1312" s="182"/>
      <c r="T1312" s="186"/>
      <c r="U1312" s="186"/>
      <c r="AA1312" s="35"/>
      <c r="AB1312" s="35"/>
    </row>
    <row r="1313" spans="2:28" x14ac:dyDescent="0.2">
      <c r="B1313" s="182"/>
      <c r="C1313" s="182"/>
      <c r="D1313" s="182"/>
      <c r="E1313" s="182"/>
      <c r="F1313" s="182"/>
      <c r="I1313" s="40"/>
      <c r="J1313" s="186"/>
      <c r="K1313" s="186"/>
      <c r="L1313" s="186"/>
      <c r="M1313" s="186"/>
      <c r="N1313" s="186"/>
      <c r="O1313" s="186"/>
      <c r="P1313" s="186"/>
      <c r="Q1313" s="182"/>
      <c r="R1313" s="182"/>
      <c r="S1313" s="182"/>
      <c r="T1313" s="186"/>
      <c r="U1313" s="186"/>
      <c r="AA1313" s="35"/>
      <c r="AB1313" s="35"/>
    </row>
    <row r="1314" spans="2:28" x14ac:dyDescent="0.2">
      <c r="B1314" s="182"/>
      <c r="C1314" s="182"/>
      <c r="D1314" s="182"/>
      <c r="E1314" s="182"/>
      <c r="F1314" s="182"/>
      <c r="I1314" s="40"/>
      <c r="J1314" s="186"/>
      <c r="K1314" s="186"/>
      <c r="L1314" s="186"/>
      <c r="M1314" s="186"/>
      <c r="N1314" s="186"/>
      <c r="O1314" s="186"/>
      <c r="P1314" s="186"/>
      <c r="Q1314" s="182"/>
      <c r="R1314" s="182"/>
      <c r="S1314" s="182"/>
      <c r="T1314" s="186"/>
      <c r="U1314" s="186"/>
      <c r="AA1314" s="35"/>
      <c r="AB1314" s="35"/>
    </row>
    <row r="1315" spans="2:28" x14ac:dyDescent="0.2">
      <c r="B1315" s="182"/>
      <c r="C1315" s="182"/>
      <c r="D1315" s="182"/>
      <c r="E1315" s="182"/>
      <c r="F1315" s="182"/>
      <c r="I1315" s="40"/>
      <c r="J1315" s="186"/>
      <c r="K1315" s="186"/>
      <c r="L1315" s="186"/>
      <c r="M1315" s="186"/>
      <c r="N1315" s="186"/>
      <c r="O1315" s="186"/>
      <c r="P1315" s="186"/>
      <c r="Q1315" s="182"/>
      <c r="R1315" s="182"/>
      <c r="S1315" s="182"/>
      <c r="T1315" s="186"/>
      <c r="U1315" s="186"/>
      <c r="AA1315" s="35"/>
      <c r="AB1315" s="35"/>
    </row>
    <row r="1316" spans="2:28" x14ac:dyDescent="0.2">
      <c r="B1316" s="182"/>
      <c r="C1316" s="182"/>
      <c r="D1316" s="182"/>
      <c r="E1316" s="182"/>
      <c r="F1316" s="182"/>
      <c r="I1316" s="40"/>
      <c r="J1316" s="186"/>
      <c r="K1316" s="186"/>
      <c r="L1316" s="186"/>
      <c r="M1316" s="186"/>
      <c r="N1316" s="186"/>
      <c r="O1316" s="186"/>
      <c r="P1316" s="186"/>
      <c r="Q1316" s="182"/>
      <c r="R1316" s="182"/>
      <c r="S1316" s="182"/>
      <c r="T1316" s="186"/>
      <c r="U1316" s="186"/>
      <c r="AA1316" s="35"/>
      <c r="AB1316" s="35"/>
    </row>
    <row r="1317" spans="2:28" x14ac:dyDescent="0.2">
      <c r="B1317" s="182"/>
      <c r="C1317" s="182"/>
      <c r="D1317" s="182"/>
      <c r="E1317" s="182"/>
      <c r="F1317" s="182"/>
      <c r="I1317" s="40"/>
      <c r="J1317" s="186"/>
      <c r="K1317" s="186"/>
      <c r="L1317" s="186"/>
      <c r="M1317" s="186"/>
      <c r="N1317" s="186"/>
      <c r="O1317" s="186"/>
      <c r="P1317" s="186"/>
      <c r="Q1317" s="182"/>
      <c r="R1317" s="182"/>
      <c r="S1317" s="182"/>
      <c r="T1317" s="186"/>
      <c r="U1317" s="186"/>
      <c r="AA1317" s="35"/>
      <c r="AB1317" s="35"/>
    </row>
    <row r="1318" spans="2:28" x14ac:dyDescent="0.2">
      <c r="B1318" s="182"/>
      <c r="C1318" s="182"/>
      <c r="D1318" s="182"/>
      <c r="E1318" s="182"/>
      <c r="F1318" s="182"/>
      <c r="I1318" s="40"/>
      <c r="J1318" s="186"/>
      <c r="K1318" s="186"/>
      <c r="L1318" s="186"/>
      <c r="M1318" s="186"/>
      <c r="N1318" s="186"/>
      <c r="O1318" s="186"/>
      <c r="P1318" s="186"/>
      <c r="Q1318" s="182"/>
      <c r="R1318" s="182"/>
      <c r="S1318" s="182"/>
      <c r="T1318" s="186"/>
      <c r="U1318" s="186"/>
      <c r="AA1318" s="35"/>
      <c r="AB1318" s="35"/>
    </row>
    <row r="1319" spans="2:28" x14ac:dyDescent="0.2">
      <c r="B1319" s="182"/>
      <c r="C1319" s="182"/>
      <c r="D1319" s="182"/>
      <c r="E1319" s="182"/>
      <c r="F1319" s="182"/>
      <c r="I1319" s="40"/>
      <c r="J1319" s="186"/>
      <c r="K1319" s="186"/>
      <c r="L1319" s="186"/>
      <c r="M1319" s="186"/>
      <c r="N1319" s="186"/>
      <c r="O1319" s="186"/>
      <c r="P1319" s="186"/>
      <c r="Q1319" s="182"/>
      <c r="R1319" s="182"/>
      <c r="S1319" s="182"/>
      <c r="T1319" s="186"/>
      <c r="U1319" s="186"/>
      <c r="AA1319" s="35"/>
      <c r="AB1319" s="35"/>
    </row>
    <row r="1320" spans="2:28" x14ac:dyDescent="0.2">
      <c r="B1320" s="182"/>
      <c r="C1320" s="182"/>
      <c r="D1320" s="182"/>
      <c r="E1320" s="182"/>
      <c r="F1320" s="182"/>
      <c r="I1320" s="40"/>
      <c r="J1320" s="186"/>
      <c r="K1320" s="186"/>
      <c r="L1320" s="186"/>
      <c r="M1320" s="186"/>
      <c r="N1320" s="186"/>
      <c r="O1320" s="186"/>
      <c r="P1320" s="186"/>
      <c r="Q1320" s="182"/>
      <c r="R1320" s="182"/>
      <c r="S1320" s="182"/>
      <c r="T1320" s="186"/>
      <c r="U1320" s="186"/>
      <c r="AA1320" s="35"/>
      <c r="AB1320" s="35"/>
    </row>
    <row r="1321" spans="2:28" x14ac:dyDescent="0.2">
      <c r="B1321" s="182"/>
      <c r="C1321" s="182"/>
      <c r="D1321" s="182"/>
      <c r="E1321" s="182"/>
      <c r="F1321" s="182"/>
      <c r="I1321" s="40"/>
      <c r="J1321" s="186"/>
      <c r="K1321" s="186"/>
      <c r="L1321" s="186"/>
      <c r="M1321" s="186"/>
      <c r="N1321" s="186"/>
      <c r="O1321" s="186"/>
      <c r="P1321" s="186"/>
      <c r="Q1321" s="182"/>
      <c r="R1321" s="182"/>
      <c r="S1321" s="182"/>
      <c r="T1321" s="186"/>
      <c r="U1321" s="186"/>
      <c r="AA1321" s="35"/>
      <c r="AB1321" s="35"/>
    </row>
    <row r="1322" spans="2:28" x14ac:dyDescent="0.2">
      <c r="B1322" s="182"/>
      <c r="C1322" s="182"/>
      <c r="D1322" s="182"/>
      <c r="E1322" s="182"/>
      <c r="F1322" s="182"/>
      <c r="I1322" s="40"/>
      <c r="J1322" s="186"/>
      <c r="K1322" s="186"/>
      <c r="L1322" s="186"/>
      <c r="M1322" s="186"/>
      <c r="N1322" s="186"/>
      <c r="O1322" s="186"/>
      <c r="P1322" s="186"/>
      <c r="Q1322" s="182"/>
      <c r="R1322" s="182"/>
      <c r="S1322" s="182"/>
      <c r="T1322" s="186"/>
      <c r="U1322" s="186"/>
      <c r="AA1322" s="35"/>
      <c r="AB1322" s="35"/>
    </row>
    <row r="1323" spans="2:28" x14ac:dyDescent="0.2">
      <c r="B1323" s="182"/>
      <c r="C1323" s="182"/>
      <c r="D1323" s="182"/>
      <c r="E1323" s="182"/>
      <c r="F1323" s="182"/>
      <c r="I1323" s="40"/>
      <c r="J1323" s="186"/>
      <c r="K1323" s="186"/>
      <c r="L1323" s="186"/>
      <c r="M1323" s="186"/>
      <c r="N1323" s="186"/>
      <c r="O1323" s="186"/>
      <c r="P1323" s="186"/>
      <c r="Q1323" s="182"/>
      <c r="R1323" s="182"/>
      <c r="S1323" s="182"/>
      <c r="T1323" s="186"/>
      <c r="U1323" s="186"/>
      <c r="AA1323" s="35"/>
      <c r="AB1323" s="35"/>
    </row>
    <row r="1324" spans="2:28" x14ac:dyDescent="0.2">
      <c r="B1324" s="182"/>
      <c r="C1324" s="182"/>
      <c r="D1324" s="182"/>
      <c r="E1324" s="182"/>
      <c r="F1324" s="182"/>
      <c r="I1324" s="40"/>
      <c r="J1324" s="186"/>
      <c r="K1324" s="186"/>
      <c r="L1324" s="186"/>
      <c r="M1324" s="186"/>
      <c r="N1324" s="186"/>
      <c r="O1324" s="186"/>
      <c r="P1324" s="186"/>
      <c r="Q1324" s="182"/>
      <c r="R1324" s="182"/>
      <c r="S1324" s="182"/>
      <c r="T1324" s="186"/>
      <c r="U1324" s="186"/>
      <c r="AA1324" s="35"/>
      <c r="AB1324" s="35"/>
    </row>
    <row r="1325" spans="2:28" x14ac:dyDescent="0.2">
      <c r="B1325" s="182"/>
      <c r="C1325" s="182"/>
      <c r="D1325" s="182"/>
      <c r="E1325" s="182"/>
      <c r="F1325" s="182"/>
      <c r="I1325" s="40"/>
      <c r="J1325" s="186"/>
      <c r="K1325" s="186"/>
      <c r="L1325" s="186"/>
      <c r="M1325" s="186"/>
      <c r="N1325" s="186"/>
      <c r="O1325" s="186"/>
      <c r="P1325" s="186"/>
      <c r="Q1325" s="182"/>
      <c r="R1325" s="182"/>
      <c r="S1325" s="182"/>
      <c r="T1325" s="186"/>
      <c r="U1325" s="186"/>
      <c r="AA1325" s="35"/>
      <c r="AB1325" s="35"/>
    </row>
    <row r="1326" spans="2:28" x14ac:dyDescent="0.2">
      <c r="B1326" s="182"/>
      <c r="C1326" s="182"/>
      <c r="D1326" s="182"/>
      <c r="E1326" s="182"/>
      <c r="F1326" s="182"/>
      <c r="I1326" s="40"/>
      <c r="J1326" s="186"/>
      <c r="K1326" s="186"/>
      <c r="L1326" s="186"/>
      <c r="M1326" s="186"/>
      <c r="N1326" s="186"/>
      <c r="O1326" s="186"/>
      <c r="P1326" s="186"/>
      <c r="Q1326" s="182"/>
      <c r="R1326" s="182"/>
      <c r="S1326" s="182"/>
      <c r="T1326" s="186"/>
      <c r="U1326" s="186"/>
      <c r="AA1326" s="35"/>
      <c r="AB1326" s="35"/>
    </row>
    <row r="1327" spans="2:28" x14ac:dyDescent="0.2">
      <c r="B1327" s="182"/>
      <c r="C1327" s="182"/>
      <c r="D1327" s="182"/>
      <c r="E1327" s="182"/>
      <c r="F1327" s="182"/>
      <c r="I1327" s="40"/>
      <c r="J1327" s="186"/>
      <c r="K1327" s="186"/>
      <c r="L1327" s="186"/>
      <c r="M1327" s="186"/>
      <c r="N1327" s="186"/>
      <c r="O1327" s="186"/>
      <c r="P1327" s="186"/>
      <c r="Q1327" s="182"/>
      <c r="R1327" s="182"/>
      <c r="S1327" s="182"/>
      <c r="T1327" s="186"/>
      <c r="U1327" s="186"/>
      <c r="AA1327" s="35"/>
      <c r="AB1327" s="35"/>
    </row>
    <row r="1328" spans="2:28" x14ac:dyDescent="0.2">
      <c r="B1328" s="182"/>
      <c r="C1328" s="182"/>
      <c r="D1328" s="182"/>
      <c r="E1328" s="182"/>
      <c r="F1328" s="182"/>
      <c r="I1328" s="40"/>
      <c r="J1328" s="186"/>
      <c r="K1328" s="186"/>
      <c r="L1328" s="186"/>
      <c r="M1328" s="186"/>
      <c r="N1328" s="186"/>
      <c r="O1328" s="186"/>
      <c r="P1328" s="186"/>
      <c r="Q1328" s="182"/>
      <c r="R1328" s="182"/>
      <c r="S1328" s="182"/>
      <c r="T1328" s="186"/>
      <c r="U1328" s="186"/>
      <c r="AA1328" s="35"/>
      <c r="AB1328" s="35"/>
    </row>
    <row r="1329" spans="2:28" x14ac:dyDescent="0.2">
      <c r="B1329" s="182"/>
      <c r="C1329" s="182"/>
      <c r="D1329" s="182"/>
      <c r="E1329" s="182"/>
      <c r="F1329" s="182"/>
      <c r="I1329" s="40"/>
      <c r="J1329" s="186"/>
      <c r="K1329" s="186"/>
      <c r="L1329" s="186"/>
      <c r="M1329" s="186"/>
      <c r="N1329" s="186"/>
      <c r="O1329" s="186"/>
      <c r="P1329" s="186"/>
      <c r="Q1329" s="182"/>
      <c r="R1329" s="182"/>
      <c r="S1329" s="182"/>
      <c r="T1329" s="186"/>
      <c r="U1329" s="186"/>
      <c r="AA1329" s="35"/>
      <c r="AB1329" s="35"/>
    </row>
    <row r="1330" spans="2:28" x14ac:dyDescent="0.2">
      <c r="B1330" s="182"/>
      <c r="C1330" s="182"/>
      <c r="D1330" s="182"/>
      <c r="E1330" s="182"/>
      <c r="F1330" s="182"/>
      <c r="I1330" s="40"/>
      <c r="J1330" s="186"/>
      <c r="K1330" s="186"/>
      <c r="L1330" s="186"/>
      <c r="M1330" s="186"/>
      <c r="N1330" s="186"/>
      <c r="O1330" s="186"/>
      <c r="P1330" s="186"/>
      <c r="Q1330" s="182"/>
      <c r="R1330" s="182"/>
      <c r="S1330" s="182"/>
      <c r="T1330" s="186"/>
      <c r="U1330" s="186"/>
      <c r="AA1330" s="35"/>
      <c r="AB1330" s="35"/>
    </row>
    <row r="1331" spans="2:28" x14ac:dyDescent="0.2">
      <c r="B1331" s="182"/>
      <c r="C1331" s="182"/>
      <c r="D1331" s="182"/>
      <c r="E1331" s="182"/>
      <c r="F1331" s="182"/>
      <c r="I1331" s="40"/>
      <c r="J1331" s="186"/>
      <c r="K1331" s="186"/>
      <c r="L1331" s="186"/>
      <c r="M1331" s="186"/>
      <c r="N1331" s="186"/>
      <c r="O1331" s="186"/>
      <c r="P1331" s="186"/>
      <c r="Q1331" s="182"/>
      <c r="R1331" s="182"/>
      <c r="S1331" s="182"/>
      <c r="T1331" s="186"/>
      <c r="U1331" s="186"/>
      <c r="AA1331" s="35"/>
      <c r="AB1331" s="35"/>
    </row>
    <row r="1332" spans="2:28" x14ac:dyDescent="0.2">
      <c r="B1332" s="182"/>
      <c r="C1332" s="182"/>
      <c r="D1332" s="182"/>
      <c r="E1332" s="182"/>
      <c r="F1332" s="182"/>
      <c r="I1332" s="40"/>
      <c r="J1332" s="186"/>
      <c r="K1332" s="186"/>
      <c r="L1332" s="186"/>
      <c r="M1332" s="186"/>
      <c r="N1332" s="186"/>
      <c r="O1332" s="186"/>
      <c r="P1332" s="186"/>
      <c r="Q1332" s="182"/>
      <c r="R1332" s="182"/>
      <c r="S1332" s="182"/>
      <c r="T1332" s="186"/>
      <c r="U1332" s="186"/>
      <c r="AA1332" s="35"/>
      <c r="AB1332" s="35"/>
    </row>
    <row r="1333" spans="2:28" x14ac:dyDescent="0.2">
      <c r="B1333" s="182"/>
      <c r="C1333" s="182"/>
      <c r="D1333" s="182"/>
      <c r="E1333" s="182"/>
      <c r="F1333" s="182"/>
      <c r="I1333" s="40"/>
      <c r="J1333" s="186"/>
      <c r="K1333" s="186"/>
      <c r="L1333" s="186"/>
      <c r="M1333" s="186"/>
      <c r="N1333" s="186"/>
      <c r="O1333" s="186"/>
      <c r="P1333" s="186"/>
      <c r="Q1333" s="182"/>
      <c r="R1333" s="182"/>
      <c r="S1333" s="182"/>
      <c r="T1333" s="186"/>
      <c r="U1333" s="186"/>
      <c r="AA1333" s="35"/>
      <c r="AB1333" s="35"/>
    </row>
    <row r="1334" spans="2:28" x14ac:dyDescent="0.2">
      <c r="B1334" s="182"/>
      <c r="C1334" s="182"/>
      <c r="D1334" s="182"/>
      <c r="E1334" s="182"/>
      <c r="F1334" s="182"/>
      <c r="I1334" s="40"/>
      <c r="J1334" s="186"/>
      <c r="K1334" s="186"/>
      <c r="L1334" s="186"/>
      <c r="M1334" s="186"/>
      <c r="N1334" s="186"/>
      <c r="O1334" s="186"/>
      <c r="P1334" s="186"/>
      <c r="Q1334" s="182"/>
      <c r="R1334" s="182"/>
      <c r="S1334" s="182"/>
      <c r="T1334" s="186"/>
      <c r="U1334" s="186"/>
      <c r="AA1334" s="35"/>
      <c r="AB1334" s="35"/>
    </row>
    <row r="1335" spans="2:28" x14ac:dyDescent="0.2">
      <c r="B1335" s="182"/>
      <c r="C1335" s="182"/>
      <c r="D1335" s="182"/>
      <c r="E1335" s="182"/>
      <c r="F1335" s="182"/>
      <c r="I1335" s="40"/>
      <c r="J1335" s="186"/>
      <c r="K1335" s="186"/>
      <c r="L1335" s="186"/>
      <c r="M1335" s="186"/>
      <c r="N1335" s="186"/>
      <c r="O1335" s="186"/>
      <c r="P1335" s="186"/>
      <c r="Q1335" s="182"/>
      <c r="R1335" s="182"/>
      <c r="S1335" s="182"/>
      <c r="T1335" s="186"/>
      <c r="U1335" s="186"/>
      <c r="AA1335" s="35"/>
      <c r="AB1335" s="35"/>
    </row>
    <row r="1336" spans="2:28" x14ac:dyDescent="0.2">
      <c r="B1336" s="182"/>
      <c r="C1336" s="182"/>
      <c r="D1336" s="182"/>
      <c r="E1336" s="182"/>
      <c r="F1336" s="182"/>
      <c r="I1336" s="40"/>
      <c r="J1336" s="186"/>
      <c r="K1336" s="186"/>
      <c r="L1336" s="186"/>
      <c r="M1336" s="186"/>
      <c r="N1336" s="186"/>
      <c r="O1336" s="186"/>
      <c r="P1336" s="186"/>
      <c r="Q1336" s="182"/>
      <c r="R1336" s="182"/>
      <c r="S1336" s="182"/>
      <c r="T1336" s="186"/>
      <c r="U1336" s="186"/>
      <c r="AA1336" s="35"/>
      <c r="AB1336" s="35"/>
    </row>
    <row r="1337" spans="2:28" x14ac:dyDescent="0.2">
      <c r="B1337" s="182"/>
      <c r="C1337" s="182"/>
      <c r="D1337" s="182"/>
      <c r="E1337" s="182"/>
      <c r="F1337" s="182"/>
      <c r="I1337" s="40"/>
      <c r="J1337" s="186"/>
      <c r="K1337" s="186"/>
      <c r="L1337" s="186"/>
      <c r="M1337" s="186"/>
      <c r="N1337" s="186"/>
      <c r="O1337" s="186"/>
      <c r="P1337" s="186"/>
      <c r="Q1337" s="182"/>
      <c r="R1337" s="182"/>
      <c r="S1337" s="182"/>
      <c r="T1337" s="186"/>
      <c r="U1337" s="186"/>
      <c r="AA1337" s="35"/>
      <c r="AB1337" s="35"/>
    </row>
    <row r="1338" spans="2:28" x14ac:dyDescent="0.2">
      <c r="B1338" s="182"/>
      <c r="C1338" s="182"/>
      <c r="D1338" s="182"/>
      <c r="E1338" s="182"/>
      <c r="F1338" s="182"/>
      <c r="I1338" s="40"/>
      <c r="J1338" s="186"/>
      <c r="K1338" s="186"/>
      <c r="L1338" s="186"/>
      <c r="M1338" s="186"/>
      <c r="N1338" s="186"/>
      <c r="O1338" s="186"/>
      <c r="P1338" s="186"/>
      <c r="Q1338" s="182"/>
      <c r="R1338" s="182"/>
      <c r="S1338" s="182"/>
      <c r="T1338" s="186"/>
      <c r="U1338" s="186"/>
      <c r="AA1338" s="35"/>
      <c r="AB1338" s="35"/>
    </row>
    <row r="1339" spans="2:28" x14ac:dyDescent="0.2">
      <c r="B1339" s="182"/>
      <c r="C1339" s="182"/>
      <c r="D1339" s="182"/>
      <c r="E1339" s="182"/>
      <c r="F1339" s="182"/>
      <c r="I1339" s="40"/>
      <c r="J1339" s="186"/>
      <c r="K1339" s="186"/>
      <c r="L1339" s="186"/>
      <c r="M1339" s="186"/>
      <c r="N1339" s="186"/>
      <c r="O1339" s="186"/>
      <c r="P1339" s="186"/>
      <c r="Q1339" s="182"/>
      <c r="R1339" s="182"/>
      <c r="S1339" s="182"/>
      <c r="T1339" s="186"/>
      <c r="U1339" s="186"/>
      <c r="AA1339" s="35"/>
      <c r="AB1339" s="35"/>
    </row>
    <row r="1340" spans="2:28" x14ac:dyDescent="0.2">
      <c r="B1340" s="182"/>
      <c r="C1340" s="182"/>
      <c r="D1340" s="182"/>
      <c r="E1340" s="182"/>
      <c r="F1340" s="182"/>
      <c r="I1340" s="40"/>
      <c r="J1340" s="186"/>
      <c r="K1340" s="186"/>
      <c r="L1340" s="186"/>
      <c r="M1340" s="186"/>
      <c r="N1340" s="186"/>
      <c r="O1340" s="186"/>
      <c r="P1340" s="186"/>
      <c r="Q1340" s="182"/>
      <c r="R1340" s="182"/>
      <c r="S1340" s="182"/>
      <c r="T1340" s="186"/>
      <c r="U1340" s="186"/>
      <c r="AA1340" s="35"/>
      <c r="AB1340" s="35"/>
    </row>
    <row r="1341" spans="2:28" x14ac:dyDescent="0.2">
      <c r="B1341" s="182"/>
      <c r="C1341" s="182"/>
      <c r="D1341" s="182"/>
      <c r="E1341" s="182"/>
      <c r="F1341" s="182"/>
      <c r="I1341" s="40"/>
      <c r="J1341" s="186"/>
      <c r="K1341" s="186"/>
      <c r="L1341" s="186"/>
      <c r="M1341" s="186"/>
      <c r="N1341" s="186"/>
      <c r="O1341" s="186"/>
      <c r="P1341" s="186"/>
      <c r="Q1341" s="182"/>
      <c r="R1341" s="182"/>
      <c r="S1341" s="182"/>
      <c r="T1341" s="186"/>
      <c r="U1341" s="186"/>
      <c r="AA1341" s="35"/>
      <c r="AB1341" s="35"/>
    </row>
    <row r="1342" spans="2:28" x14ac:dyDescent="0.2">
      <c r="B1342" s="182"/>
      <c r="C1342" s="182"/>
      <c r="D1342" s="182"/>
      <c r="E1342" s="182"/>
      <c r="F1342" s="182"/>
      <c r="I1342" s="40"/>
      <c r="J1342" s="186"/>
      <c r="K1342" s="186"/>
      <c r="L1342" s="186"/>
      <c r="M1342" s="186"/>
      <c r="N1342" s="186"/>
      <c r="O1342" s="186"/>
      <c r="P1342" s="186"/>
      <c r="Q1342" s="182"/>
      <c r="R1342" s="182"/>
      <c r="S1342" s="182"/>
      <c r="T1342" s="186"/>
      <c r="U1342" s="186"/>
      <c r="AA1342" s="35"/>
      <c r="AB1342" s="35"/>
    </row>
    <row r="1343" spans="2:28" x14ac:dyDescent="0.2">
      <c r="B1343" s="182"/>
      <c r="C1343" s="182"/>
      <c r="D1343" s="182"/>
      <c r="E1343" s="182"/>
      <c r="F1343" s="182"/>
      <c r="I1343" s="40"/>
      <c r="J1343" s="186"/>
      <c r="K1343" s="186"/>
      <c r="L1343" s="186"/>
      <c r="M1343" s="186"/>
      <c r="N1343" s="186"/>
      <c r="O1343" s="186"/>
      <c r="P1343" s="186"/>
      <c r="Q1343" s="182"/>
      <c r="R1343" s="182"/>
      <c r="S1343" s="182"/>
      <c r="T1343" s="186"/>
      <c r="U1343" s="186"/>
      <c r="AA1343" s="35"/>
      <c r="AB1343" s="35"/>
    </row>
    <row r="1344" spans="2:28" x14ac:dyDescent="0.2">
      <c r="B1344" s="182"/>
      <c r="C1344" s="182"/>
      <c r="D1344" s="182"/>
      <c r="E1344" s="182"/>
      <c r="F1344" s="182"/>
      <c r="I1344" s="40"/>
      <c r="J1344" s="186"/>
      <c r="K1344" s="186"/>
      <c r="L1344" s="186"/>
      <c r="M1344" s="186"/>
      <c r="N1344" s="186"/>
      <c r="O1344" s="186"/>
      <c r="P1344" s="186"/>
      <c r="Q1344" s="182"/>
      <c r="R1344" s="182"/>
      <c r="S1344" s="182"/>
      <c r="T1344" s="186"/>
      <c r="U1344" s="186"/>
      <c r="AA1344" s="35"/>
      <c r="AB1344" s="35"/>
    </row>
    <row r="1345" spans="2:28" x14ac:dyDescent="0.2">
      <c r="B1345" s="182"/>
      <c r="C1345" s="182"/>
      <c r="D1345" s="182"/>
      <c r="E1345" s="182"/>
      <c r="F1345" s="182"/>
      <c r="I1345" s="40"/>
      <c r="J1345" s="186"/>
      <c r="K1345" s="186"/>
      <c r="L1345" s="186"/>
      <c r="M1345" s="186"/>
      <c r="N1345" s="186"/>
      <c r="O1345" s="186"/>
      <c r="P1345" s="186"/>
      <c r="Q1345" s="182"/>
      <c r="R1345" s="182"/>
      <c r="S1345" s="182"/>
      <c r="T1345" s="186"/>
      <c r="U1345" s="186"/>
      <c r="AA1345" s="35"/>
      <c r="AB1345" s="35"/>
    </row>
    <row r="1346" spans="2:28" x14ac:dyDescent="0.2">
      <c r="B1346" s="182"/>
      <c r="C1346" s="182"/>
      <c r="D1346" s="182"/>
      <c r="E1346" s="182"/>
      <c r="F1346" s="182"/>
      <c r="I1346" s="40"/>
      <c r="J1346" s="186"/>
      <c r="K1346" s="186"/>
      <c r="L1346" s="186"/>
      <c r="M1346" s="186"/>
      <c r="N1346" s="186"/>
      <c r="O1346" s="186"/>
      <c r="P1346" s="186"/>
      <c r="Q1346" s="182"/>
      <c r="R1346" s="182"/>
      <c r="S1346" s="182"/>
      <c r="T1346" s="186"/>
      <c r="U1346" s="186"/>
      <c r="AA1346" s="35"/>
      <c r="AB1346" s="35"/>
    </row>
    <row r="1347" spans="2:28" x14ac:dyDescent="0.2">
      <c r="B1347" s="182"/>
      <c r="C1347" s="182"/>
      <c r="D1347" s="182"/>
      <c r="E1347" s="182"/>
      <c r="F1347" s="182"/>
      <c r="I1347" s="40"/>
      <c r="J1347" s="186"/>
      <c r="K1347" s="186"/>
      <c r="L1347" s="186"/>
      <c r="M1347" s="186"/>
      <c r="N1347" s="186"/>
      <c r="O1347" s="186"/>
      <c r="P1347" s="186"/>
      <c r="Q1347" s="182"/>
      <c r="R1347" s="182"/>
      <c r="S1347" s="182"/>
      <c r="T1347" s="186"/>
      <c r="U1347" s="186"/>
      <c r="AA1347" s="35"/>
      <c r="AB1347" s="35"/>
    </row>
    <row r="1348" spans="2:28" x14ac:dyDescent="0.2">
      <c r="B1348" s="182"/>
      <c r="C1348" s="182"/>
      <c r="D1348" s="182"/>
      <c r="E1348" s="182"/>
      <c r="F1348" s="182"/>
      <c r="I1348" s="40"/>
      <c r="J1348" s="186"/>
      <c r="K1348" s="186"/>
      <c r="L1348" s="186"/>
      <c r="M1348" s="186"/>
      <c r="N1348" s="186"/>
      <c r="O1348" s="186"/>
      <c r="P1348" s="186"/>
      <c r="Q1348" s="182"/>
      <c r="R1348" s="182"/>
      <c r="S1348" s="182"/>
      <c r="T1348" s="186"/>
      <c r="U1348" s="186"/>
      <c r="AA1348" s="35"/>
      <c r="AB1348" s="35"/>
    </row>
    <row r="1349" spans="2:28" x14ac:dyDescent="0.2">
      <c r="B1349" s="182"/>
      <c r="C1349" s="182"/>
      <c r="D1349" s="182"/>
      <c r="E1349" s="182"/>
      <c r="F1349" s="182"/>
      <c r="I1349" s="40"/>
      <c r="J1349" s="186"/>
      <c r="K1349" s="186"/>
      <c r="L1349" s="186"/>
      <c r="M1349" s="186"/>
      <c r="N1349" s="186"/>
      <c r="O1349" s="186"/>
      <c r="P1349" s="186"/>
      <c r="Q1349" s="182"/>
      <c r="R1349" s="182"/>
      <c r="S1349" s="182"/>
      <c r="T1349" s="186"/>
      <c r="U1349" s="186"/>
      <c r="AA1349" s="35"/>
      <c r="AB1349" s="35"/>
    </row>
    <row r="1350" spans="2:28" x14ac:dyDescent="0.2">
      <c r="B1350" s="182"/>
      <c r="C1350" s="182"/>
      <c r="D1350" s="182"/>
      <c r="E1350" s="182"/>
      <c r="F1350" s="182"/>
      <c r="I1350" s="40"/>
      <c r="J1350" s="186"/>
      <c r="K1350" s="186"/>
      <c r="L1350" s="186"/>
      <c r="M1350" s="186"/>
      <c r="N1350" s="186"/>
      <c r="O1350" s="186"/>
      <c r="P1350" s="186"/>
      <c r="Q1350" s="182"/>
      <c r="R1350" s="182"/>
      <c r="S1350" s="182"/>
      <c r="T1350" s="186"/>
      <c r="U1350" s="186"/>
      <c r="AA1350" s="35"/>
      <c r="AB1350" s="35"/>
    </row>
    <row r="1351" spans="2:28" x14ac:dyDescent="0.2">
      <c r="B1351" s="182"/>
      <c r="C1351" s="182"/>
      <c r="D1351" s="182"/>
      <c r="E1351" s="182"/>
      <c r="F1351" s="182"/>
      <c r="I1351" s="40"/>
      <c r="J1351" s="186"/>
      <c r="K1351" s="186"/>
      <c r="L1351" s="186"/>
      <c r="M1351" s="186"/>
      <c r="N1351" s="186"/>
      <c r="O1351" s="186"/>
      <c r="P1351" s="186"/>
      <c r="Q1351" s="182"/>
      <c r="R1351" s="182"/>
      <c r="S1351" s="182"/>
      <c r="T1351" s="186"/>
      <c r="U1351" s="186"/>
      <c r="AA1351" s="35"/>
      <c r="AB1351" s="35"/>
    </row>
    <row r="1352" spans="2:28" x14ac:dyDescent="0.2">
      <c r="B1352" s="182"/>
      <c r="C1352" s="182"/>
      <c r="D1352" s="182"/>
      <c r="E1352" s="182"/>
      <c r="F1352" s="182"/>
      <c r="I1352" s="40"/>
      <c r="J1352" s="186"/>
      <c r="K1352" s="186"/>
      <c r="L1352" s="186"/>
      <c r="M1352" s="186"/>
      <c r="N1352" s="186"/>
      <c r="O1352" s="186"/>
      <c r="P1352" s="186"/>
      <c r="Q1352" s="182"/>
      <c r="R1352" s="182"/>
      <c r="S1352" s="182"/>
      <c r="T1352" s="186"/>
      <c r="U1352" s="186"/>
      <c r="AA1352" s="35"/>
      <c r="AB1352" s="35"/>
    </row>
    <row r="1353" spans="2:28" x14ac:dyDescent="0.2">
      <c r="B1353" s="182"/>
      <c r="C1353" s="182"/>
      <c r="D1353" s="182"/>
      <c r="E1353" s="182"/>
      <c r="F1353" s="182"/>
      <c r="I1353" s="40"/>
      <c r="J1353" s="186"/>
      <c r="K1353" s="186"/>
      <c r="L1353" s="186"/>
      <c r="M1353" s="186"/>
      <c r="N1353" s="186"/>
      <c r="O1353" s="186"/>
      <c r="P1353" s="186"/>
      <c r="Q1353" s="182"/>
      <c r="R1353" s="182"/>
      <c r="S1353" s="182"/>
      <c r="T1353" s="186"/>
      <c r="U1353" s="186"/>
      <c r="AA1353" s="35"/>
      <c r="AB1353" s="35"/>
    </row>
    <row r="1354" spans="2:28" x14ac:dyDescent="0.2">
      <c r="B1354" s="182"/>
      <c r="C1354" s="182"/>
      <c r="D1354" s="182"/>
      <c r="E1354" s="182"/>
      <c r="F1354" s="182"/>
      <c r="I1354" s="40"/>
      <c r="J1354" s="186"/>
      <c r="K1354" s="186"/>
      <c r="L1354" s="186"/>
      <c r="M1354" s="186"/>
      <c r="N1354" s="186"/>
      <c r="O1354" s="186"/>
      <c r="P1354" s="186"/>
      <c r="Q1354" s="182"/>
      <c r="R1354" s="182"/>
      <c r="S1354" s="182"/>
      <c r="T1354" s="186"/>
      <c r="U1354" s="186"/>
      <c r="AA1354" s="35"/>
      <c r="AB1354" s="35"/>
    </row>
    <row r="1355" spans="2:28" x14ac:dyDescent="0.2">
      <c r="B1355" s="182"/>
      <c r="C1355" s="182"/>
      <c r="D1355" s="182"/>
      <c r="E1355" s="182"/>
      <c r="F1355" s="182"/>
      <c r="I1355" s="40"/>
      <c r="J1355" s="186"/>
      <c r="K1355" s="186"/>
      <c r="L1355" s="186"/>
      <c r="M1355" s="186"/>
      <c r="N1355" s="186"/>
      <c r="O1355" s="186"/>
      <c r="P1355" s="186"/>
      <c r="Q1355" s="182"/>
      <c r="R1355" s="182"/>
      <c r="S1355" s="182"/>
      <c r="T1355" s="186"/>
      <c r="U1355" s="186"/>
      <c r="AA1355" s="35"/>
      <c r="AB1355" s="35"/>
    </row>
    <row r="1356" spans="2:28" x14ac:dyDescent="0.2">
      <c r="B1356" s="182"/>
      <c r="C1356" s="182"/>
      <c r="D1356" s="182"/>
      <c r="E1356" s="182"/>
      <c r="F1356" s="182"/>
      <c r="I1356" s="40"/>
      <c r="J1356" s="186"/>
      <c r="K1356" s="186"/>
      <c r="L1356" s="186"/>
      <c r="M1356" s="186"/>
      <c r="N1356" s="186"/>
      <c r="O1356" s="186"/>
      <c r="P1356" s="186"/>
      <c r="Q1356" s="182"/>
      <c r="R1356" s="182"/>
      <c r="S1356" s="182"/>
      <c r="T1356" s="186"/>
      <c r="U1356" s="186"/>
      <c r="AA1356" s="35"/>
      <c r="AB1356" s="35"/>
    </row>
    <row r="1357" spans="2:28" x14ac:dyDescent="0.2">
      <c r="B1357" s="182"/>
      <c r="C1357" s="182"/>
      <c r="D1357" s="182"/>
      <c r="E1357" s="182"/>
      <c r="F1357" s="182"/>
      <c r="I1357" s="40"/>
      <c r="J1357" s="186"/>
      <c r="K1357" s="186"/>
      <c r="L1357" s="186"/>
      <c r="M1357" s="186"/>
      <c r="N1357" s="186"/>
      <c r="O1357" s="186"/>
      <c r="P1357" s="186"/>
      <c r="Q1357" s="182"/>
      <c r="R1357" s="182"/>
      <c r="S1357" s="182"/>
      <c r="T1357" s="186"/>
      <c r="U1357" s="186"/>
      <c r="AA1357" s="35"/>
      <c r="AB1357" s="35"/>
    </row>
    <row r="1358" spans="2:28" x14ac:dyDescent="0.2">
      <c r="B1358" s="182"/>
      <c r="C1358" s="182"/>
      <c r="D1358" s="182"/>
      <c r="E1358" s="182"/>
      <c r="F1358" s="182"/>
      <c r="I1358" s="40"/>
      <c r="J1358" s="186"/>
      <c r="K1358" s="186"/>
      <c r="L1358" s="186"/>
      <c r="M1358" s="186"/>
      <c r="N1358" s="186"/>
      <c r="O1358" s="186"/>
      <c r="P1358" s="186"/>
      <c r="Q1358" s="182"/>
      <c r="R1358" s="182"/>
      <c r="S1358" s="182"/>
      <c r="T1358" s="186"/>
      <c r="U1358" s="186"/>
      <c r="AA1358" s="35"/>
      <c r="AB1358" s="35"/>
    </row>
    <row r="1359" spans="2:28" x14ac:dyDescent="0.2">
      <c r="B1359" s="182"/>
      <c r="C1359" s="182"/>
      <c r="D1359" s="182"/>
      <c r="E1359" s="182"/>
      <c r="F1359" s="182"/>
      <c r="I1359" s="40"/>
      <c r="J1359" s="186"/>
      <c r="K1359" s="186"/>
      <c r="L1359" s="186"/>
      <c r="M1359" s="186"/>
      <c r="N1359" s="186"/>
      <c r="O1359" s="186"/>
      <c r="P1359" s="186"/>
      <c r="Q1359" s="182"/>
      <c r="R1359" s="182"/>
      <c r="S1359" s="182"/>
      <c r="T1359" s="186"/>
      <c r="U1359" s="186"/>
      <c r="AA1359" s="35"/>
      <c r="AB1359" s="35"/>
    </row>
    <row r="1360" spans="2:28" x14ac:dyDescent="0.2">
      <c r="B1360" s="182"/>
      <c r="C1360" s="182"/>
      <c r="D1360" s="182"/>
      <c r="E1360" s="182"/>
      <c r="F1360" s="182"/>
      <c r="I1360" s="40"/>
      <c r="J1360" s="186"/>
      <c r="K1360" s="186"/>
      <c r="L1360" s="186"/>
      <c r="M1360" s="186"/>
      <c r="N1360" s="186"/>
      <c r="O1360" s="186"/>
      <c r="P1360" s="186"/>
      <c r="Q1360" s="182"/>
      <c r="R1360" s="182"/>
      <c r="S1360" s="182"/>
      <c r="T1360" s="186"/>
      <c r="U1360" s="186"/>
      <c r="AA1360" s="35"/>
      <c r="AB1360" s="35"/>
    </row>
    <row r="1361" spans="2:28" x14ac:dyDescent="0.2">
      <c r="B1361" s="182"/>
      <c r="C1361" s="182"/>
      <c r="D1361" s="182"/>
      <c r="E1361" s="182"/>
      <c r="F1361" s="182"/>
      <c r="I1361" s="40"/>
      <c r="J1361" s="186"/>
      <c r="K1361" s="186"/>
      <c r="L1361" s="186"/>
      <c r="M1361" s="186"/>
      <c r="N1361" s="186"/>
      <c r="O1361" s="186"/>
      <c r="P1361" s="186"/>
      <c r="Q1361" s="182"/>
      <c r="R1361" s="182"/>
      <c r="S1361" s="182"/>
      <c r="T1361" s="186"/>
      <c r="U1361" s="186"/>
      <c r="AA1361" s="35"/>
      <c r="AB1361" s="35"/>
    </row>
    <row r="1362" spans="2:28" x14ac:dyDescent="0.2">
      <c r="B1362" s="182"/>
      <c r="C1362" s="182"/>
      <c r="D1362" s="182"/>
      <c r="E1362" s="182"/>
      <c r="F1362" s="182"/>
      <c r="I1362" s="40"/>
      <c r="J1362" s="186"/>
      <c r="K1362" s="186"/>
      <c r="L1362" s="186"/>
      <c r="M1362" s="186"/>
      <c r="N1362" s="186"/>
      <c r="O1362" s="186"/>
      <c r="P1362" s="186"/>
      <c r="Q1362" s="182"/>
      <c r="R1362" s="182"/>
      <c r="S1362" s="182"/>
      <c r="T1362" s="186"/>
      <c r="U1362" s="186"/>
      <c r="AA1362" s="35"/>
      <c r="AB1362" s="35"/>
    </row>
    <row r="1363" spans="2:28" x14ac:dyDescent="0.2">
      <c r="B1363" s="182"/>
      <c r="C1363" s="182"/>
      <c r="D1363" s="182"/>
      <c r="E1363" s="182"/>
      <c r="F1363" s="182"/>
      <c r="I1363" s="40"/>
      <c r="J1363" s="186"/>
      <c r="K1363" s="186"/>
      <c r="L1363" s="186"/>
      <c r="M1363" s="186"/>
      <c r="N1363" s="186"/>
      <c r="O1363" s="186"/>
      <c r="P1363" s="186"/>
      <c r="Q1363" s="182"/>
      <c r="R1363" s="182"/>
      <c r="S1363" s="182"/>
      <c r="T1363" s="186"/>
      <c r="U1363" s="186"/>
      <c r="AA1363" s="35"/>
      <c r="AB1363" s="35"/>
    </row>
    <row r="1364" spans="2:28" x14ac:dyDescent="0.2">
      <c r="B1364" s="182"/>
      <c r="C1364" s="182"/>
      <c r="D1364" s="182"/>
      <c r="E1364" s="182"/>
      <c r="F1364" s="182"/>
      <c r="I1364" s="40"/>
      <c r="J1364" s="186"/>
      <c r="K1364" s="186"/>
      <c r="L1364" s="186"/>
      <c r="M1364" s="186"/>
      <c r="N1364" s="186"/>
      <c r="O1364" s="186"/>
      <c r="P1364" s="186"/>
      <c r="Q1364" s="182"/>
      <c r="R1364" s="182"/>
      <c r="S1364" s="182"/>
      <c r="T1364" s="186"/>
      <c r="U1364" s="186"/>
      <c r="AA1364" s="35"/>
      <c r="AB1364" s="35"/>
    </row>
    <row r="1365" spans="2:28" x14ac:dyDescent="0.2">
      <c r="B1365" s="182"/>
      <c r="C1365" s="182"/>
      <c r="D1365" s="182"/>
      <c r="E1365" s="182"/>
      <c r="F1365" s="182"/>
      <c r="I1365" s="40"/>
      <c r="J1365" s="186"/>
      <c r="K1365" s="186"/>
      <c r="L1365" s="186"/>
      <c r="M1365" s="186"/>
      <c r="N1365" s="186"/>
      <c r="O1365" s="186"/>
      <c r="P1365" s="186"/>
      <c r="Q1365" s="182"/>
      <c r="R1365" s="182"/>
      <c r="S1365" s="182"/>
      <c r="T1365" s="186"/>
      <c r="U1365" s="186"/>
      <c r="AA1365" s="35"/>
      <c r="AB1365" s="35"/>
    </row>
    <row r="1366" spans="2:28" x14ac:dyDescent="0.2">
      <c r="B1366" s="182"/>
      <c r="C1366" s="182"/>
      <c r="D1366" s="182"/>
      <c r="E1366" s="182"/>
      <c r="F1366" s="182"/>
      <c r="I1366" s="40"/>
      <c r="J1366" s="186"/>
      <c r="K1366" s="186"/>
      <c r="L1366" s="186"/>
      <c r="M1366" s="186"/>
      <c r="N1366" s="186"/>
      <c r="O1366" s="186"/>
      <c r="P1366" s="186"/>
      <c r="Q1366" s="182"/>
      <c r="R1366" s="182"/>
      <c r="S1366" s="182"/>
      <c r="T1366" s="186"/>
      <c r="U1366" s="186"/>
      <c r="AA1366" s="35"/>
      <c r="AB1366" s="35"/>
    </row>
    <row r="1367" spans="2:28" x14ac:dyDescent="0.2">
      <c r="B1367" s="182"/>
      <c r="C1367" s="182"/>
      <c r="D1367" s="182"/>
      <c r="E1367" s="182"/>
      <c r="F1367" s="182"/>
      <c r="I1367" s="40"/>
      <c r="J1367" s="186"/>
      <c r="K1367" s="186"/>
      <c r="L1367" s="186"/>
      <c r="M1367" s="186"/>
      <c r="N1367" s="186"/>
      <c r="O1367" s="186"/>
      <c r="P1367" s="186"/>
      <c r="Q1367" s="182"/>
      <c r="R1367" s="182"/>
      <c r="S1367" s="182"/>
      <c r="T1367" s="186"/>
      <c r="U1367" s="186"/>
      <c r="AA1367" s="35"/>
      <c r="AB1367" s="35"/>
    </row>
    <row r="1368" spans="2:28" x14ac:dyDescent="0.2">
      <c r="B1368" s="182"/>
      <c r="C1368" s="182"/>
      <c r="D1368" s="182"/>
      <c r="E1368" s="182"/>
      <c r="F1368" s="182"/>
      <c r="I1368" s="40"/>
      <c r="J1368" s="186"/>
      <c r="K1368" s="186"/>
      <c r="L1368" s="186"/>
      <c r="M1368" s="186"/>
      <c r="N1368" s="186"/>
      <c r="O1368" s="186"/>
      <c r="P1368" s="186"/>
      <c r="Q1368" s="182"/>
      <c r="R1368" s="182"/>
      <c r="S1368" s="182"/>
      <c r="T1368" s="186"/>
      <c r="U1368" s="186"/>
      <c r="AA1368" s="35"/>
      <c r="AB1368" s="35"/>
    </row>
    <row r="1369" spans="2:28" x14ac:dyDescent="0.2">
      <c r="B1369" s="182"/>
      <c r="C1369" s="182"/>
      <c r="D1369" s="182"/>
      <c r="E1369" s="182"/>
      <c r="F1369" s="182"/>
      <c r="I1369" s="40"/>
      <c r="J1369" s="186"/>
      <c r="K1369" s="186"/>
      <c r="L1369" s="186"/>
      <c r="M1369" s="186"/>
      <c r="N1369" s="186"/>
      <c r="O1369" s="186"/>
      <c r="P1369" s="186"/>
      <c r="Q1369" s="182"/>
      <c r="R1369" s="182"/>
      <c r="S1369" s="182"/>
      <c r="T1369" s="186"/>
      <c r="U1369" s="186"/>
      <c r="AA1369" s="35"/>
      <c r="AB1369" s="35"/>
    </row>
    <row r="1370" spans="2:28" x14ac:dyDescent="0.2">
      <c r="B1370" s="182"/>
      <c r="C1370" s="182"/>
      <c r="D1370" s="182"/>
      <c r="E1370" s="182"/>
      <c r="F1370" s="182"/>
      <c r="I1370" s="40"/>
      <c r="J1370" s="186"/>
      <c r="K1370" s="186"/>
      <c r="L1370" s="186"/>
      <c r="M1370" s="186"/>
      <c r="N1370" s="186"/>
      <c r="O1370" s="186"/>
      <c r="P1370" s="186"/>
      <c r="Q1370" s="182"/>
      <c r="R1370" s="182"/>
      <c r="S1370" s="182"/>
      <c r="T1370" s="186"/>
      <c r="U1370" s="186"/>
      <c r="AA1370" s="35"/>
      <c r="AB1370" s="35"/>
    </row>
    <row r="1371" spans="2:28" x14ac:dyDescent="0.2">
      <c r="B1371" s="182"/>
      <c r="C1371" s="182"/>
      <c r="D1371" s="182"/>
      <c r="E1371" s="182"/>
      <c r="F1371" s="182"/>
      <c r="I1371" s="40"/>
      <c r="J1371" s="186"/>
      <c r="K1371" s="186"/>
      <c r="L1371" s="186"/>
      <c r="M1371" s="186"/>
      <c r="N1371" s="186"/>
      <c r="O1371" s="186"/>
      <c r="P1371" s="186"/>
      <c r="Q1371" s="182"/>
      <c r="R1371" s="182"/>
      <c r="S1371" s="182"/>
      <c r="T1371" s="186"/>
      <c r="U1371" s="186"/>
      <c r="AA1371" s="35"/>
      <c r="AB1371" s="35"/>
    </row>
    <row r="1372" spans="2:28" x14ac:dyDescent="0.2">
      <c r="B1372" s="182"/>
      <c r="C1372" s="182"/>
      <c r="D1372" s="182"/>
      <c r="E1372" s="182"/>
      <c r="F1372" s="182"/>
      <c r="I1372" s="40"/>
      <c r="J1372" s="186"/>
      <c r="K1372" s="186"/>
      <c r="L1372" s="186"/>
      <c r="M1372" s="186"/>
      <c r="N1372" s="186"/>
      <c r="O1372" s="186"/>
      <c r="P1372" s="186"/>
      <c r="Q1372" s="182"/>
      <c r="R1372" s="182"/>
      <c r="S1372" s="182"/>
      <c r="T1372" s="186"/>
      <c r="U1372" s="186"/>
      <c r="AA1372" s="35"/>
      <c r="AB1372" s="35"/>
    </row>
    <row r="1373" spans="2:28" x14ac:dyDescent="0.2">
      <c r="B1373" s="182"/>
      <c r="C1373" s="182"/>
      <c r="D1373" s="182"/>
      <c r="E1373" s="182"/>
      <c r="F1373" s="182"/>
      <c r="I1373" s="40"/>
      <c r="J1373" s="186"/>
      <c r="K1373" s="186"/>
      <c r="L1373" s="186"/>
      <c r="M1373" s="186"/>
      <c r="N1373" s="186"/>
      <c r="O1373" s="186"/>
      <c r="P1373" s="186"/>
      <c r="Q1373" s="182"/>
      <c r="R1373" s="182"/>
      <c r="S1373" s="182"/>
      <c r="T1373" s="186"/>
      <c r="U1373" s="186"/>
      <c r="AA1373" s="35"/>
      <c r="AB1373" s="35"/>
    </row>
    <row r="1374" spans="2:28" x14ac:dyDescent="0.2">
      <c r="B1374" s="182"/>
      <c r="C1374" s="182"/>
      <c r="D1374" s="182"/>
      <c r="E1374" s="182"/>
      <c r="F1374" s="182"/>
      <c r="I1374" s="40"/>
      <c r="J1374" s="186"/>
      <c r="K1374" s="186"/>
      <c r="L1374" s="186"/>
      <c r="M1374" s="186"/>
      <c r="N1374" s="186"/>
      <c r="O1374" s="186"/>
      <c r="P1374" s="186"/>
      <c r="Q1374" s="182"/>
      <c r="R1374" s="182"/>
      <c r="S1374" s="182"/>
      <c r="T1374" s="186"/>
      <c r="U1374" s="186"/>
      <c r="AA1374" s="35"/>
      <c r="AB1374" s="35"/>
    </row>
    <row r="1375" spans="2:28" x14ac:dyDescent="0.2">
      <c r="B1375" s="182"/>
      <c r="C1375" s="182"/>
      <c r="D1375" s="182"/>
      <c r="E1375" s="182"/>
      <c r="F1375" s="182"/>
      <c r="I1375" s="40"/>
      <c r="J1375" s="186"/>
      <c r="K1375" s="186"/>
      <c r="L1375" s="186"/>
      <c r="M1375" s="186"/>
      <c r="N1375" s="186"/>
      <c r="O1375" s="186"/>
      <c r="P1375" s="186"/>
      <c r="Q1375" s="182"/>
      <c r="R1375" s="182"/>
      <c r="S1375" s="182"/>
      <c r="T1375" s="186"/>
      <c r="U1375" s="186"/>
      <c r="AA1375" s="35"/>
      <c r="AB1375" s="35"/>
    </row>
    <row r="1376" spans="2:28" x14ac:dyDescent="0.2">
      <c r="B1376" s="182"/>
      <c r="C1376" s="182"/>
      <c r="D1376" s="182"/>
      <c r="E1376" s="182"/>
      <c r="F1376" s="182"/>
      <c r="I1376" s="40"/>
      <c r="J1376" s="186"/>
      <c r="K1376" s="186"/>
      <c r="L1376" s="186"/>
      <c r="M1376" s="186"/>
      <c r="N1376" s="186"/>
      <c r="O1376" s="186"/>
      <c r="P1376" s="186"/>
      <c r="Q1376" s="182"/>
      <c r="R1376" s="182"/>
      <c r="S1376" s="182"/>
      <c r="T1376" s="186"/>
      <c r="U1376" s="186"/>
      <c r="AA1376" s="35"/>
      <c r="AB1376" s="35"/>
    </row>
    <row r="1377" spans="2:28" x14ac:dyDescent="0.2">
      <c r="B1377" s="182"/>
      <c r="C1377" s="182"/>
      <c r="D1377" s="182"/>
      <c r="E1377" s="182"/>
      <c r="F1377" s="182"/>
      <c r="I1377" s="40"/>
      <c r="J1377" s="186"/>
      <c r="K1377" s="186"/>
      <c r="L1377" s="186"/>
      <c r="M1377" s="186"/>
      <c r="N1377" s="186"/>
      <c r="O1377" s="186"/>
      <c r="P1377" s="186"/>
      <c r="Q1377" s="182"/>
      <c r="R1377" s="182"/>
      <c r="S1377" s="182"/>
      <c r="T1377" s="186"/>
      <c r="U1377" s="186"/>
      <c r="AA1377" s="35"/>
      <c r="AB1377" s="35"/>
    </row>
    <row r="1378" spans="2:28" x14ac:dyDescent="0.2">
      <c r="B1378" s="182"/>
      <c r="C1378" s="182"/>
      <c r="D1378" s="182"/>
      <c r="E1378" s="182"/>
      <c r="F1378" s="182"/>
      <c r="I1378" s="40"/>
      <c r="J1378" s="186"/>
      <c r="K1378" s="186"/>
      <c r="L1378" s="186"/>
      <c r="M1378" s="186"/>
      <c r="N1378" s="186"/>
      <c r="O1378" s="186"/>
      <c r="P1378" s="186"/>
      <c r="Q1378" s="182"/>
      <c r="R1378" s="182"/>
      <c r="S1378" s="182"/>
      <c r="T1378" s="186"/>
      <c r="U1378" s="186"/>
      <c r="AA1378" s="35"/>
      <c r="AB1378" s="35"/>
    </row>
    <row r="1379" spans="2:28" x14ac:dyDescent="0.2">
      <c r="B1379" s="182"/>
      <c r="C1379" s="182"/>
      <c r="D1379" s="182"/>
      <c r="E1379" s="182"/>
      <c r="F1379" s="182"/>
      <c r="I1379" s="40"/>
      <c r="J1379" s="186"/>
      <c r="K1379" s="186"/>
      <c r="L1379" s="186"/>
      <c r="M1379" s="186"/>
      <c r="N1379" s="186"/>
      <c r="O1379" s="186"/>
      <c r="P1379" s="186"/>
      <c r="Q1379" s="182"/>
      <c r="R1379" s="182"/>
      <c r="S1379" s="182"/>
      <c r="T1379" s="186"/>
      <c r="U1379" s="186"/>
      <c r="AA1379" s="35"/>
      <c r="AB1379" s="35"/>
    </row>
    <row r="1380" spans="2:28" x14ac:dyDescent="0.2">
      <c r="B1380" s="182"/>
      <c r="C1380" s="182"/>
      <c r="D1380" s="182"/>
      <c r="E1380" s="182"/>
      <c r="F1380" s="182"/>
      <c r="I1380" s="40"/>
      <c r="J1380" s="186"/>
      <c r="K1380" s="186"/>
      <c r="L1380" s="186"/>
      <c r="M1380" s="186"/>
      <c r="N1380" s="186"/>
      <c r="O1380" s="186"/>
      <c r="P1380" s="186"/>
      <c r="Q1380" s="182"/>
      <c r="R1380" s="182"/>
      <c r="S1380" s="182"/>
      <c r="T1380" s="186"/>
      <c r="U1380" s="186"/>
      <c r="AA1380" s="35"/>
      <c r="AB1380" s="35"/>
    </row>
    <row r="1381" spans="2:28" x14ac:dyDescent="0.2">
      <c r="B1381" s="182"/>
      <c r="C1381" s="182"/>
      <c r="D1381" s="182"/>
      <c r="E1381" s="182"/>
      <c r="F1381" s="182"/>
      <c r="I1381" s="40"/>
      <c r="J1381" s="186"/>
      <c r="K1381" s="186"/>
      <c r="L1381" s="186"/>
      <c r="M1381" s="186"/>
      <c r="N1381" s="186"/>
      <c r="O1381" s="186"/>
      <c r="P1381" s="186"/>
      <c r="Q1381" s="182"/>
      <c r="R1381" s="182"/>
      <c r="S1381" s="182"/>
      <c r="T1381" s="186"/>
      <c r="U1381" s="186"/>
      <c r="AA1381" s="35"/>
      <c r="AB1381" s="35"/>
    </row>
    <row r="1382" spans="2:28" x14ac:dyDescent="0.2">
      <c r="B1382" s="182"/>
      <c r="C1382" s="182"/>
      <c r="D1382" s="182"/>
      <c r="E1382" s="182"/>
      <c r="F1382" s="182"/>
      <c r="I1382" s="40"/>
      <c r="J1382" s="186"/>
      <c r="K1382" s="186"/>
      <c r="L1382" s="186"/>
      <c r="M1382" s="186"/>
      <c r="N1382" s="186"/>
      <c r="O1382" s="186"/>
      <c r="P1382" s="186"/>
      <c r="Q1382" s="182"/>
      <c r="R1382" s="182"/>
      <c r="S1382" s="182"/>
      <c r="T1382" s="186"/>
      <c r="U1382" s="186"/>
      <c r="AA1382" s="35"/>
      <c r="AB1382" s="35"/>
    </row>
    <row r="1383" spans="2:28" x14ac:dyDescent="0.2">
      <c r="B1383" s="182"/>
      <c r="C1383" s="182"/>
      <c r="D1383" s="182"/>
      <c r="E1383" s="182"/>
      <c r="F1383" s="182"/>
      <c r="I1383" s="40"/>
      <c r="J1383" s="186"/>
      <c r="K1383" s="186"/>
      <c r="L1383" s="186"/>
      <c r="M1383" s="186"/>
      <c r="N1383" s="186"/>
      <c r="O1383" s="186"/>
      <c r="P1383" s="186"/>
      <c r="Q1383" s="182"/>
      <c r="R1383" s="182"/>
      <c r="S1383" s="182"/>
      <c r="T1383" s="186"/>
      <c r="U1383" s="186"/>
      <c r="AA1383" s="35"/>
      <c r="AB1383" s="35"/>
    </row>
    <row r="1384" spans="2:28" x14ac:dyDescent="0.2">
      <c r="B1384" s="182"/>
      <c r="C1384" s="182"/>
      <c r="D1384" s="182"/>
      <c r="E1384" s="182"/>
      <c r="F1384" s="182"/>
      <c r="I1384" s="40"/>
      <c r="J1384" s="186"/>
      <c r="K1384" s="186"/>
      <c r="L1384" s="186"/>
      <c r="M1384" s="186"/>
      <c r="N1384" s="186"/>
      <c r="O1384" s="186"/>
      <c r="P1384" s="186"/>
      <c r="Q1384" s="182"/>
      <c r="R1384" s="182"/>
      <c r="S1384" s="182"/>
      <c r="T1384" s="186"/>
      <c r="U1384" s="186"/>
      <c r="AA1384" s="35"/>
      <c r="AB1384" s="35"/>
    </row>
    <row r="1385" spans="2:28" x14ac:dyDescent="0.2">
      <c r="B1385" s="182"/>
      <c r="C1385" s="182"/>
      <c r="D1385" s="182"/>
      <c r="E1385" s="182"/>
      <c r="F1385" s="182"/>
      <c r="I1385" s="40"/>
      <c r="J1385" s="186"/>
      <c r="K1385" s="186"/>
      <c r="L1385" s="186"/>
      <c r="M1385" s="186"/>
      <c r="N1385" s="186"/>
      <c r="O1385" s="186"/>
      <c r="P1385" s="186"/>
      <c r="Q1385" s="182"/>
      <c r="R1385" s="182"/>
      <c r="S1385" s="182"/>
      <c r="T1385" s="186"/>
      <c r="U1385" s="186"/>
      <c r="AA1385" s="35"/>
      <c r="AB1385" s="35"/>
    </row>
    <row r="1386" spans="2:28" x14ac:dyDescent="0.2">
      <c r="B1386" s="182"/>
      <c r="C1386" s="182"/>
      <c r="D1386" s="182"/>
      <c r="E1386" s="182"/>
      <c r="F1386" s="182"/>
      <c r="I1386" s="40"/>
      <c r="J1386" s="186"/>
      <c r="K1386" s="186"/>
      <c r="L1386" s="186"/>
      <c r="M1386" s="186"/>
      <c r="N1386" s="186"/>
      <c r="O1386" s="186"/>
      <c r="P1386" s="186"/>
      <c r="Q1386" s="182"/>
      <c r="R1386" s="182"/>
      <c r="S1386" s="182"/>
      <c r="T1386" s="186"/>
      <c r="U1386" s="186"/>
      <c r="AA1386" s="35"/>
      <c r="AB1386" s="35"/>
    </row>
    <row r="1387" spans="2:28" x14ac:dyDescent="0.2">
      <c r="B1387" s="182"/>
      <c r="C1387" s="182"/>
      <c r="D1387" s="182"/>
      <c r="E1387" s="182"/>
      <c r="F1387" s="182"/>
      <c r="I1387" s="40"/>
      <c r="J1387" s="186"/>
      <c r="K1387" s="186"/>
      <c r="L1387" s="186"/>
      <c r="M1387" s="186"/>
      <c r="N1387" s="186"/>
      <c r="O1387" s="186"/>
      <c r="P1387" s="186"/>
      <c r="Q1387" s="182"/>
      <c r="R1387" s="182"/>
      <c r="S1387" s="182"/>
      <c r="T1387" s="186"/>
      <c r="U1387" s="186"/>
      <c r="AA1387" s="35"/>
      <c r="AB1387" s="35"/>
    </row>
    <row r="1388" spans="2:28" x14ac:dyDescent="0.2">
      <c r="B1388" s="182"/>
      <c r="C1388" s="182"/>
      <c r="D1388" s="182"/>
      <c r="E1388" s="182"/>
      <c r="F1388" s="182"/>
      <c r="I1388" s="40"/>
      <c r="J1388" s="186"/>
      <c r="K1388" s="186"/>
      <c r="L1388" s="186"/>
      <c r="M1388" s="186"/>
      <c r="N1388" s="186"/>
      <c r="O1388" s="186"/>
      <c r="P1388" s="186"/>
      <c r="Q1388" s="182"/>
      <c r="R1388" s="182"/>
      <c r="S1388" s="182"/>
      <c r="T1388" s="186"/>
      <c r="U1388" s="186"/>
      <c r="AA1388" s="35"/>
      <c r="AB1388" s="35"/>
    </row>
    <row r="1389" spans="2:28" x14ac:dyDescent="0.2">
      <c r="B1389" s="182"/>
      <c r="C1389" s="182"/>
      <c r="D1389" s="182"/>
      <c r="E1389" s="182"/>
      <c r="F1389" s="182"/>
      <c r="I1389" s="40"/>
      <c r="J1389" s="186"/>
      <c r="K1389" s="186"/>
      <c r="L1389" s="186"/>
      <c r="M1389" s="186"/>
      <c r="N1389" s="186"/>
      <c r="O1389" s="186"/>
      <c r="P1389" s="186"/>
      <c r="Q1389" s="182"/>
      <c r="R1389" s="182"/>
      <c r="S1389" s="182"/>
      <c r="T1389" s="186"/>
      <c r="U1389" s="186"/>
      <c r="AA1389" s="35"/>
      <c r="AB1389" s="35"/>
    </row>
    <row r="1390" spans="2:28" x14ac:dyDescent="0.2">
      <c r="B1390" s="182"/>
      <c r="C1390" s="182"/>
      <c r="D1390" s="182"/>
      <c r="E1390" s="182"/>
      <c r="F1390" s="182"/>
      <c r="I1390" s="40"/>
      <c r="J1390" s="186"/>
      <c r="K1390" s="186"/>
      <c r="L1390" s="186"/>
      <c r="M1390" s="186"/>
      <c r="N1390" s="186"/>
      <c r="O1390" s="186"/>
      <c r="P1390" s="186"/>
      <c r="Q1390" s="182"/>
      <c r="R1390" s="182"/>
      <c r="S1390" s="182"/>
      <c r="T1390" s="186"/>
      <c r="U1390" s="186"/>
      <c r="AA1390" s="35"/>
      <c r="AB1390" s="35"/>
    </row>
    <row r="1391" spans="2:28" x14ac:dyDescent="0.2">
      <c r="B1391" s="182"/>
      <c r="C1391" s="182"/>
      <c r="D1391" s="182"/>
      <c r="E1391" s="182"/>
      <c r="F1391" s="182"/>
      <c r="I1391" s="40"/>
      <c r="J1391" s="186"/>
      <c r="K1391" s="186"/>
      <c r="L1391" s="186"/>
      <c r="M1391" s="186"/>
      <c r="N1391" s="186"/>
      <c r="O1391" s="186"/>
      <c r="P1391" s="186"/>
      <c r="Q1391" s="182"/>
      <c r="R1391" s="182"/>
      <c r="S1391" s="182"/>
      <c r="T1391" s="186"/>
      <c r="U1391" s="186"/>
      <c r="AA1391" s="35"/>
      <c r="AB1391" s="35"/>
    </row>
    <row r="1392" spans="2:28" x14ac:dyDescent="0.2">
      <c r="B1392" s="182"/>
      <c r="C1392" s="182"/>
      <c r="D1392" s="182"/>
      <c r="E1392" s="182"/>
      <c r="F1392" s="182"/>
      <c r="I1392" s="40"/>
      <c r="J1392" s="186"/>
      <c r="K1392" s="186"/>
      <c r="L1392" s="186"/>
      <c r="M1392" s="186"/>
      <c r="N1392" s="186"/>
      <c r="O1392" s="186"/>
      <c r="P1392" s="186"/>
      <c r="Q1392" s="182"/>
      <c r="R1392" s="182"/>
      <c r="S1392" s="182"/>
      <c r="T1392" s="186"/>
      <c r="U1392" s="186"/>
      <c r="AA1392" s="35"/>
      <c r="AB1392" s="35"/>
    </row>
    <row r="1393" spans="2:28" x14ac:dyDescent="0.2">
      <c r="B1393" s="182"/>
      <c r="C1393" s="182"/>
      <c r="D1393" s="182"/>
      <c r="E1393" s="182"/>
      <c r="F1393" s="182"/>
      <c r="I1393" s="40"/>
      <c r="J1393" s="186"/>
      <c r="K1393" s="186"/>
      <c r="L1393" s="186"/>
      <c r="M1393" s="186"/>
      <c r="N1393" s="186"/>
      <c r="O1393" s="186"/>
      <c r="P1393" s="186"/>
      <c r="Q1393" s="182"/>
      <c r="R1393" s="182"/>
      <c r="S1393" s="182"/>
      <c r="T1393" s="186"/>
      <c r="U1393" s="186"/>
      <c r="AA1393" s="35"/>
      <c r="AB1393" s="35"/>
    </row>
    <row r="1394" spans="2:28" x14ac:dyDescent="0.2">
      <c r="B1394" s="182"/>
      <c r="C1394" s="182"/>
      <c r="D1394" s="182"/>
      <c r="E1394" s="182"/>
      <c r="F1394" s="182"/>
      <c r="I1394" s="40"/>
      <c r="J1394" s="186"/>
      <c r="K1394" s="186"/>
      <c r="L1394" s="186"/>
      <c r="M1394" s="186"/>
      <c r="N1394" s="186"/>
      <c r="O1394" s="186"/>
      <c r="P1394" s="186"/>
      <c r="Q1394" s="182"/>
      <c r="R1394" s="182"/>
      <c r="S1394" s="182"/>
      <c r="T1394" s="186"/>
      <c r="U1394" s="186"/>
      <c r="AA1394" s="35"/>
      <c r="AB1394" s="35"/>
    </row>
    <row r="1395" spans="2:28" x14ac:dyDescent="0.2">
      <c r="B1395" s="182"/>
      <c r="C1395" s="182"/>
      <c r="D1395" s="182"/>
      <c r="E1395" s="182"/>
      <c r="F1395" s="182"/>
      <c r="I1395" s="40"/>
      <c r="J1395" s="186"/>
      <c r="K1395" s="186"/>
      <c r="L1395" s="186"/>
      <c r="M1395" s="186"/>
      <c r="N1395" s="186"/>
      <c r="O1395" s="186"/>
      <c r="P1395" s="186"/>
      <c r="Q1395" s="182"/>
      <c r="R1395" s="182"/>
      <c r="S1395" s="182"/>
      <c r="T1395" s="186"/>
      <c r="U1395" s="186"/>
      <c r="AA1395" s="35"/>
      <c r="AB1395" s="35"/>
    </row>
    <row r="1396" spans="2:28" x14ac:dyDescent="0.2">
      <c r="B1396" s="182"/>
      <c r="C1396" s="182"/>
      <c r="D1396" s="182"/>
      <c r="E1396" s="182"/>
      <c r="F1396" s="182"/>
      <c r="I1396" s="40"/>
      <c r="J1396" s="186"/>
      <c r="K1396" s="186"/>
      <c r="L1396" s="186"/>
      <c r="M1396" s="186"/>
      <c r="N1396" s="186"/>
      <c r="O1396" s="186"/>
      <c r="P1396" s="186"/>
      <c r="Q1396" s="182"/>
      <c r="R1396" s="182"/>
      <c r="S1396" s="182"/>
      <c r="T1396" s="186"/>
      <c r="U1396" s="186"/>
      <c r="AA1396" s="35"/>
      <c r="AB1396" s="35"/>
    </row>
    <row r="1397" spans="2:28" x14ac:dyDescent="0.2">
      <c r="B1397" s="182"/>
      <c r="C1397" s="182"/>
      <c r="D1397" s="182"/>
      <c r="E1397" s="182"/>
      <c r="F1397" s="182"/>
      <c r="I1397" s="40"/>
      <c r="J1397" s="186"/>
      <c r="K1397" s="186"/>
      <c r="L1397" s="186"/>
      <c r="M1397" s="186"/>
      <c r="N1397" s="186"/>
      <c r="O1397" s="186"/>
      <c r="P1397" s="186"/>
      <c r="Q1397" s="182"/>
      <c r="R1397" s="182"/>
      <c r="S1397" s="182"/>
      <c r="T1397" s="186"/>
      <c r="U1397" s="186"/>
      <c r="AA1397" s="35"/>
      <c r="AB1397" s="35"/>
    </row>
    <row r="1398" spans="2:28" x14ac:dyDescent="0.2">
      <c r="B1398" s="182"/>
      <c r="C1398" s="182"/>
      <c r="D1398" s="182"/>
      <c r="E1398" s="182"/>
      <c r="F1398" s="182"/>
      <c r="I1398" s="40"/>
      <c r="J1398" s="186"/>
      <c r="K1398" s="186"/>
      <c r="L1398" s="186"/>
      <c r="M1398" s="186"/>
      <c r="N1398" s="186"/>
      <c r="O1398" s="186"/>
      <c r="P1398" s="186"/>
      <c r="Q1398" s="182"/>
      <c r="R1398" s="182"/>
      <c r="S1398" s="182"/>
      <c r="T1398" s="186"/>
      <c r="U1398" s="186"/>
      <c r="AA1398" s="35"/>
      <c r="AB1398" s="35"/>
    </row>
    <row r="1399" spans="2:28" x14ac:dyDescent="0.2">
      <c r="B1399" s="182"/>
      <c r="C1399" s="182"/>
      <c r="D1399" s="182"/>
      <c r="E1399" s="182"/>
      <c r="F1399" s="182"/>
      <c r="I1399" s="40"/>
      <c r="J1399" s="186"/>
      <c r="K1399" s="186"/>
      <c r="L1399" s="186"/>
      <c r="M1399" s="186"/>
      <c r="N1399" s="186"/>
      <c r="O1399" s="186"/>
      <c r="P1399" s="186"/>
      <c r="Q1399" s="182"/>
      <c r="R1399" s="182"/>
      <c r="S1399" s="182"/>
      <c r="T1399" s="186"/>
      <c r="U1399" s="186"/>
      <c r="AA1399" s="35"/>
      <c r="AB1399" s="35"/>
    </row>
    <row r="1400" spans="2:28" x14ac:dyDescent="0.2">
      <c r="B1400" s="182"/>
      <c r="C1400" s="182"/>
      <c r="D1400" s="182"/>
      <c r="E1400" s="182"/>
      <c r="F1400" s="182"/>
      <c r="I1400" s="40"/>
      <c r="J1400" s="186"/>
      <c r="K1400" s="186"/>
      <c r="L1400" s="186"/>
      <c r="M1400" s="186"/>
      <c r="N1400" s="186"/>
      <c r="O1400" s="186"/>
      <c r="P1400" s="186"/>
      <c r="Q1400" s="182"/>
      <c r="R1400" s="182"/>
      <c r="S1400" s="182"/>
      <c r="T1400" s="186"/>
      <c r="U1400" s="186"/>
      <c r="AA1400" s="35"/>
      <c r="AB1400" s="35"/>
    </row>
    <row r="1401" spans="2:28" x14ac:dyDescent="0.2">
      <c r="B1401" s="182"/>
      <c r="C1401" s="182"/>
      <c r="D1401" s="182"/>
      <c r="E1401" s="182"/>
      <c r="F1401" s="182"/>
      <c r="I1401" s="40"/>
      <c r="J1401" s="186"/>
      <c r="K1401" s="186"/>
      <c r="L1401" s="186"/>
      <c r="M1401" s="186"/>
      <c r="N1401" s="186"/>
      <c r="O1401" s="186"/>
      <c r="P1401" s="186"/>
      <c r="Q1401" s="182"/>
      <c r="R1401" s="182"/>
      <c r="S1401" s="182"/>
      <c r="T1401" s="186"/>
      <c r="U1401" s="186"/>
      <c r="AA1401" s="35"/>
      <c r="AB1401" s="35"/>
    </row>
    <row r="1402" spans="2:28" x14ac:dyDescent="0.2">
      <c r="B1402" s="182"/>
      <c r="C1402" s="182"/>
      <c r="D1402" s="182"/>
      <c r="E1402" s="182"/>
      <c r="F1402" s="182"/>
      <c r="I1402" s="40"/>
      <c r="J1402" s="186"/>
      <c r="K1402" s="186"/>
      <c r="L1402" s="186"/>
      <c r="M1402" s="186"/>
      <c r="N1402" s="186"/>
      <c r="O1402" s="186"/>
      <c r="P1402" s="186"/>
      <c r="Q1402" s="182"/>
      <c r="R1402" s="182"/>
      <c r="S1402" s="182"/>
      <c r="T1402" s="186"/>
      <c r="U1402" s="186"/>
      <c r="AA1402" s="35"/>
      <c r="AB1402" s="35"/>
    </row>
    <row r="1403" spans="2:28" x14ac:dyDescent="0.2">
      <c r="B1403" s="182"/>
      <c r="C1403" s="182"/>
      <c r="D1403" s="182"/>
      <c r="E1403" s="182"/>
      <c r="F1403" s="182"/>
      <c r="I1403" s="40"/>
      <c r="J1403" s="186"/>
      <c r="K1403" s="186"/>
      <c r="L1403" s="186"/>
      <c r="M1403" s="186"/>
      <c r="N1403" s="186"/>
      <c r="O1403" s="186"/>
      <c r="P1403" s="186"/>
      <c r="Q1403" s="182"/>
      <c r="R1403" s="182"/>
      <c r="S1403" s="182"/>
      <c r="T1403" s="186"/>
      <c r="U1403" s="186"/>
      <c r="AA1403" s="35"/>
      <c r="AB1403" s="35"/>
    </row>
    <row r="1404" spans="2:28" x14ac:dyDescent="0.2">
      <c r="B1404" s="182"/>
      <c r="C1404" s="182"/>
      <c r="D1404" s="182"/>
      <c r="E1404" s="182"/>
      <c r="F1404" s="182"/>
      <c r="I1404" s="40"/>
      <c r="J1404" s="186"/>
      <c r="K1404" s="186"/>
      <c r="L1404" s="186"/>
      <c r="M1404" s="186"/>
      <c r="N1404" s="186"/>
      <c r="O1404" s="186"/>
      <c r="P1404" s="186"/>
      <c r="Q1404" s="182"/>
      <c r="R1404" s="182"/>
      <c r="S1404" s="182"/>
      <c r="T1404" s="186"/>
      <c r="U1404" s="186"/>
      <c r="AA1404" s="35"/>
      <c r="AB1404" s="35"/>
    </row>
    <row r="1405" spans="2:28" x14ac:dyDescent="0.2">
      <c r="B1405" s="182"/>
      <c r="C1405" s="182"/>
      <c r="D1405" s="182"/>
      <c r="E1405" s="182"/>
      <c r="F1405" s="182"/>
      <c r="I1405" s="40"/>
      <c r="J1405" s="186"/>
      <c r="K1405" s="186"/>
      <c r="L1405" s="186"/>
      <c r="M1405" s="186"/>
      <c r="N1405" s="186"/>
      <c r="O1405" s="186"/>
      <c r="P1405" s="186"/>
      <c r="Q1405" s="182"/>
      <c r="R1405" s="182"/>
      <c r="S1405" s="182"/>
      <c r="T1405" s="186"/>
      <c r="U1405" s="186"/>
      <c r="AA1405" s="35"/>
      <c r="AB1405" s="35"/>
    </row>
    <row r="1406" spans="2:28" x14ac:dyDescent="0.2">
      <c r="B1406" s="182"/>
      <c r="C1406" s="182"/>
      <c r="D1406" s="182"/>
      <c r="E1406" s="182"/>
      <c r="F1406" s="182"/>
      <c r="I1406" s="40"/>
      <c r="J1406" s="186"/>
      <c r="K1406" s="186"/>
      <c r="L1406" s="186"/>
      <c r="M1406" s="186"/>
      <c r="N1406" s="186"/>
      <c r="O1406" s="186"/>
      <c r="P1406" s="186"/>
      <c r="Q1406" s="182"/>
      <c r="R1406" s="182"/>
      <c r="S1406" s="182"/>
      <c r="T1406" s="186"/>
      <c r="U1406" s="186"/>
      <c r="AA1406" s="35"/>
      <c r="AB1406" s="35"/>
    </row>
    <row r="1407" spans="2:28" x14ac:dyDescent="0.2">
      <c r="B1407" s="182"/>
      <c r="C1407" s="182"/>
      <c r="D1407" s="182"/>
      <c r="E1407" s="182"/>
      <c r="F1407" s="182"/>
      <c r="I1407" s="40"/>
      <c r="J1407" s="186"/>
      <c r="K1407" s="186"/>
      <c r="L1407" s="186"/>
      <c r="M1407" s="186"/>
      <c r="N1407" s="186"/>
      <c r="O1407" s="186"/>
      <c r="P1407" s="186"/>
      <c r="Q1407" s="182"/>
      <c r="R1407" s="182"/>
      <c r="S1407" s="182"/>
      <c r="T1407" s="186"/>
      <c r="U1407" s="186"/>
      <c r="AA1407" s="35"/>
      <c r="AB1407" s="35"/>
    </row>
    <row r="1408" spans="2:28" x14ac:dyDescent="0.2">
      <c r="B1408" s="182"/>
      <c r="C1408" s="182"/>
      <c r="D1408" s="182"/>
      <c r="E1408" s="182"/>
      <c r="F1408" s="182"/>
      <c r="I1408" s="40"/>
      <c r="J1408" s="186"/>
      <c r="K1408" s="186"/>
      <c r="L1408" s="186"/>
      <c r="M1408" s="186"/>
      <c r="N1408" s="186"/>
      <c r="O1408" s="186"/>
      <c r="P1408" s="186"/>
      <c r="Q1408" s="182"/>
      <c r="R1408" s="182"/>
      <c r="S1408" s="182"/>
      <c r="T1408" s="186"/>
      <c r="U1408" s="186"/>
      <c r="AA1408" s="35"/>
      <c r="AB1408" s="35"/>
    </row>
    <row r="1409" spans="2:28" x14ac:dyDescent="0.2">
      <c r="B1409" s="182"/>
      <c r="C1409" s="182"/>
      <c r="D1409" s="182"/>
      <c r="E1409" s="182"/>
      <c r="F1409" s="182"/>
      <c r="I1409" s="40"/>
      <c r="J1409" s="186"/>
      <c r="K1409" s="186"/>
      <c r="L1409" s="186"/>
      <c r="M1409" s="186"/>
      <c r="N1409" s="186"/>
      <c r="O1409" s="186"/>
      <c r="P1409" s="186"/>
      <c r="Q1409" s="182"/>
      <c r="R1409" s="182"/>
      <c r="S1409" s="182"/>
      <c r="T1409" s="186"/>
      <c r="U1409" s="186"/>
      <c r="AA1409" s="35"/>
      <c r="AB1409" s="35"/>
    </row>
    <row r="1410" spans="2:28" x14ac:dyDescent="0.2">
      <c r="B1410" s="182"/>
      <c r="C1410" s="182"/>
      <c r="D1410" s="182"/>
      <c r="E1410" s="182"/>
      <c r="F1410" s="182"/>
      <c r="I1410" s="40"/>
      <c r="J1410" s="186"/>
      <c r="K1410" s="186"/>
      <c r="L1410" s="186"/>
      <c r="M1410" s="186"/>
      <c r="N1410" s="186"/>
      <c r="O1410" s="186"/>
      <c r="P1410" s="186"/>
      <c r="Q1410" s="182"/>
      <c r="R1410" s="182"/>
      <c r="S1410" s="182"/>
      <c r="T1410" s="186"/>
      <c r="U1410" s="186"/>
      <c r="AA1410" s="35"/>
      <c r="AB1410" s="35"/>
    </row>
    <row r="1411" spans="2:28" x14ac:dyDescent="0.2">
      <c r="B1411" s="182"/>
      <c r="C1411" s="182"/>
      <c r="D1411" s="182"/>
      <c r="E1411" s="182"/>
      <c r="F1411" s="182"/>
      <c r="I1411" s="40"/>
      <c r="J1411" s="186"/>
      <c r="K1411" s="186"/>
      <c r="L1411" s="186"/>
      <c r="M1411" s="186"/>
      <c r="N1411" s="186"/>
      <c r="O1411" s="186"/>
      <c r="P1411" s="186"/>
      <c r="Q1411" s="182"/>
      <c r="R1411" s="182"/>
      <c r="S1411" s="182"/>
      <c r="T1411" s="186"/>
      <c r="U1411" s="186"/>
      <c r="AA1411" s="35"/>
      <c r="AB1411" s="35"/>
    </row>
    <row r="1412" spans="2:28" x14ac:dyDescent="0.2">
      <c r="B1412" s="182"/>
      <c r="C1412" s="182"/>
      <c r="D1412" s="182"/>
      <c r="E1412" s="182"/>
      <c r="F1412" s="182"/>
      <c r="I1412" s="40"/>
      <c r="J1412" s="186"/>
      <c r="K1412" s="186"/>
      <c r="L1412" s="186"/>
      <c r="M1412" s="186"/>
      <c r="N1412" s="186"/>
      <c r="O1412" s="186"/>
      <c r="P1412" s="186"/>
      <c r="Q1412" s="182"/>
      <c r="R1412" s="182"/>
      <c r="S1412" s="182"/>
      <c r="T1412" s="186"/>
      <c r="U1412" s="186"/>
      <c r="AA1412" s="35"/>
      <c r="AB1412" s="35"/>
    </row>
    <row r="1413" spans="2:28" x14ac:dyDescent="0.2">
      <c r="B1413" s="182"/>
      <c r="C1413" s="182"/>
      <c r="D1413" s="182"/>
      <c r="E1413" s="182"/>
      <c r="F1413" s="182"/>
      <c r="I1413" s="40"/>
      <c r="J1413" s="186"/>
      <c r="K1413" s="186"/>
      <c r="L1413" s="186"/>
      <c r="M1413" s="186"/>
      <c r="N1413" s="186"/>
      <c r="O1413" s="186"/>
      <c r="P1413" s="186"/>
      <c r="Q1413" s="182"/>
      <c r="R1413" s="182"/>
      <c r="S1413" s="182"/>
      <c r="T1413" s="186"/>
      <c r="U1413" s="186"/>
      <c r="AA1413" s="35"/>
      <c r="AB1413" s="35"/>
    </row>
    <row r="1414" spans="2:28" x14ac:dyDescent="0.2">
      <c r="B1414" s="182"/>
      <c r="C1414" s="182"/>
      <c r="D1414" s="182"/>
      <c r="E1414" s="182"/>
      <c r="F1414" s="182"/>
      <c r="I1414" s="40"/>
      <c r="J1414" s="186"/>
      <c r="K1414" s="186"/>
      <c r="L1414" s="186"/>
      <c r="M1414" s="186"/>
      <c r="N1414" s="186"/>
      <c r="O1414" s="186"/>
      <c r="P1414" s="186"/>
      <c r="Q1414" s="182"/>
      <c r="R1414" s="182"/>
      <c r="S1414" s="182"/>
      <c r="T1414" s="186"/>
      <c r="U1414" s="186"/>
      <c r="AA1414" s="35"/>
      <c r="AB1414" s="35"/>
    </row>
    <row r="1415" spans="2:28" x14ac:dyDescent="0.2">
      <c r="B1415" s="182"/>
      <c r="C1415" s="182"/>
      <c r="D1415" s="182"/>
      <c r="E1415" s="182"/>
      <c r="F1415" s="182"/>
      <c r="I1415" s="40"/>
      <c r="J1415" s="186"/>
      <c r="K1415" s="186"/>
      <c r="L1415" s="186"/>
      <c r="M1415" s="186"/>
      <c r="N1415" s="186"/>
      <c r="O1415" s="186"/>
      <c r="P1415" s="186"/>
      <c r="Q1415" s="182"/>
      <c r="R1415" s="182"/>
      <c r="S1415" s="182"/>
      <c r="T1415" s="186"/>
      <c r="U1415" s="186"/>
      <c r="AA1415" s="35"/>
      <c r="AB1415" s="35"/>
    </row>
    <row r="1416" spans="2:28" x14ac:dyDescent="0.2">
      <c r="B1416" s="182"/>
      <c r="C1416" s="182"/>
      <c r="D1416" s="182"/>
      <c r="E1416" s="182"/>
      <c r="F1416" s="182"/>
      <c r="I1416" s="40"/>
      <c r="J1416" s="186"/>
      <c r="K1416" s="186"/>
      <c r="L1416" s="186"/>
      <c r="M1416" s="186"/>
      <c r="N1416" s="186"/>
      <c r="O1416" s="186"/>
      <c r="P1416" s="186"/>
      <c r="Q1416" s="182"/>
      <c r="R1416" s="182"/>
      <c r="S1416" s="182"/>
      <c r="T1416" s="186"/>
      <c r="U1416" s="186"/>
      <c r="AA1416" s="35"/>
      <c r="AB1416" s="35"/>
    </row>
    <row r="1417" spans="2:28" x14ac:dyDescent="0.2">
      <c r="B1417" s="182"/>
      <c r="C1417" s="182"/>
      <c r="D1417" s="182"/>
      <c r="E1417" s="182"/>
      <c r="F1417" s="182"/>
      <c r="I1417" s="40"/>
      <c r="J1417" s="186"/>
      <c r="K1417" s="186"/>
      <c r="L1417" s="186"/>
      <c r="M1417" s="186"/>
      <c r="N1417" s="186"/>
      <c r="O1417" s="186"/>
      <c r="P1417" s="186"/>
      <c r="Q1417" s="182"/>
      <c r="R1417" s="182"/>
      <c r="S1417" s="182"/>
      <c r="T1417" s="186"/>
      <c r="U1417" s="186"/>
      <c r="AA1417" s="35"/>
      <c r="AB1417" s="35"/>
    </row>
    <row r="1418" spans="2:28" x14ac:dyDescent="0.2">
      <c r="B1418" s="182"/>
      <c r="C1418" s="182"/>
      <c r="D1418" s="182"/>
      <c r="E1418" s="182"/>
      <c r="F1418" s="182"/>
      <c r="I1418" s="40"/>
      <c r="J1418" s="186"/>
      <c r="K1418" s="186"/>
      <c r="L1418" s="186"/>
      <c r="M1418" s="186"/>
      <c r="N1418" s="186"/>
      <c r="O1418" s="186"/>
      <c r="P1418" s="186"/>
      <c r="Q1418" s="182"/>
      <c r="R1418" s="182"/>
      <c r="S1418" s="182"/>
      <c r="T1418" s="186"/>
      <c r="U1418" s="186"/>
      <c r="AA1418" s="35"/>
      <c r="AB1418" s="35"/>
    </row>
    <row r="1419" spans="2:28" x14ac:dyDescent="0.2">
      <c r="B1419" s="182"/>
      <c r="C1419" s="182"/>
      <c r="D1419" s="182"/>
      <c r="E1419" s="182"/>
      <c r="F1419" s="182"/>
      <c r="I1419" s="40"/>
      <c r="J1419" s="186"/>
      <c r="K1419" s="186"/>
      <c r="L1419" s="186"/>
      <c r="M1419" s="186"/>
      <c r="N1419" s="186"/>
      <c r="O1419" s="186"/>
      <c r="P1419" s="186"/>
      <c r="Q1419" s="182"/>
      <c r="R1419" s="182"/>
      <c r="S1419" s="182"/>
      <c r="T1419" s="186"/>
      <c r="U1419" s="186"/>
      <c r="AA1419" s="35"/>
      <c r="AB1419" s="35"/>
    </row>
    <row r="1420" spans="2:28" x14ac:dyDescent="0.2">
      <c r="B1420" s="182"/>
      <c r="C1420" s="182"/>
      <c r="D1420" s="182"/>
      <c r="E1420" s="182"/>
      <c r="F1420" s="182"/>
      <c r="I1420" s="40"/>
      <c r="J1420" s="186"/>
      <c r="K1420" s="186"/>
      <c r="L1420" s="186"/>
      <c r="M1420" s="186"/>
      <c r="N1420" s="186"/>
      <c r="O1420" s="186"/>
      <c r="P1420" s="186"/>
      <c r="Q1420" s="182"/>
      <c r="R1420" s="182"/>
      <c r="S1420" s="182"/>
      <c r="T1420" s="186"/>
      <c r="U1420" s="186"/>
      <c r="AA1420" s="35"/>
      <c r="AB1420" s="35"/>
    </row>
    <row r="1421" spans="2:28" x14ac:dyDescent="0.2">
      <c r="B1421" s="182"/>
      <c r="C1421" s="182"/>
      <c r="D1421" s="182"/>
      <c r="E1421" s="182"/>
      <c r="F1421" s="182"/>
      <c r="I1421" s="40"/>
      <c r="J1421" s="186"/>
      <c r="K1421" s="186"/>
      <c r="L1421" s="186"/>
      <c r="M1421" s="186"/>
      <c r="N1421" s="186"/>
      <c r="O1421" s="186"/>
      <c r="P1421" s="186"/>
      <c r="Q1421" s="182"/>
      <c r="R1421" s="182"/>
      <c r="S1421" s="182"/>
      <c r="T1421" s="186"/>
      <c r="U1421" s="186"/>
      <c r="AA1421" s="35"/>
      <c r="AB1421" s="35"/>
    </row>
    <row r="1422" spans="2:28" x14ac:dyDescent="0.2">
      <c r="B1422" s="182"/>
      <c r="C1422" s="182"/>
      <c r="D1422" s="182"/>
      <c r="E1422" s="182"/>
      <c r="F1422" s="182"/>
      <c r="I1422" s="40"/>
      <c r="J1422" s="186"/>
      <c r="K1422" s="186"/>
      <c r="L1422" s="186"/>
      <c r="M1422" s="186"/>
      <c r="N1422" s="186"/>
      <c r="O1422" s="186"/>
      <c r="P1422" s="186"/>
      <c r="Q1422" s="182"/>
      <c r="R1422" s="182"/>
      <c r="S1422" s="182"/>
      <c r="T1422" s="186"/>
      <c r="U1422" s="186"/>
      <c r="AA1422" s="35"/>
      <c r="AB1422" s="35"/>
    </row>
    <row r="1423" spans="2:28" x14ac:dyDescent="0.2">
      <c r="B1423" s="182"/>
      <c r="C1423" s="182"/>
      <c r="D1423" s="182"/>
      <c r="E1423" s="182"/>
      <c r="F1423" s="182"/>
      <c r="I1423" s="40"/>
      <c r="J1423" s="186"/>
      <c r="K1423" s="186"/>
      <c r="L1423" s="186"/>
      <c r="M1423" s="186"/>
      <c r="N1423" s="186"/>
      <c r="O1423" s="186"/>
      <c r="P1423" s="186"/>
      <c r="Q1423" s="182"/>
      <c r="R1423" s="182"/>
      <c r="S1423" s="182"/>
      <c r="T1423" s="186"/>
      <c r="U1423" s="186"/>
      <c r="AA1423" s="35"/>
      <c r="AB1423" s="35"/>
    </row>
    <row r="1424" spans="2:28" x14ac:dyDescent="0.2">
      <c r="B1424" s="182"/>
      <c r="C1424" s="182"/>
      <c r="D1424" s="182"/>
      <c r="E1424" s="182"/>
      <c r="F1424" s="182"/>
      <c r="I1424" s="40"/>
      <c r="J1424" s="186"/>
      <c r="K1424" s="186"/>
      <c r="L1424" s="186"/>
      <c r="M1424" s="186"/>
      <c r="N1424" s="186"/>
      <c r="O1424" s="186"/>
      <c r="P1424" s="186"/>
      <c r="Q1424" s="182"/>
      <c r="R1424" s="182"/>
      <c r="S1424" s="182"/>
      <c r="T1424" s="186"/>
      <c r="U1424" s="186"/>
      <c r="AA1424" s="35"/>
      <c r="AB1424" s="35"/>
    </row>
    <row r="1425" spans="2:28" x14ac:dyDescent="0.2">
      <c r="B1425" s="182"/>
      <c r="C1425" s="182"/>
      <c r="D1425" s="182"/>
      <c r="E1425" s="182"/>
      <c r="F1425" s="182"/>
      <c r="I1425" s="40"/>
      <c r="J1425" s="186"/>
      <c r="K1425" s="186"/>
      <c r="L1425" s="186"/>
      <c r="M1425" s="186"/>
      <c r="N1425" s="186"/>
      <c r="O1425" s="186"/>
      <c r="P1425" s="186"/>
      <c r="Q1425" s="182"/>
      <c r="R1425" s="182"/>
      <c r="S1425" s="182"/>
      <c r="T1425" s="186"/>
      <c r="U1425" s="186"/>
      <c r="AA1425" s="35"/>
      <c r="AB1425" s="35"/>
    </row>
    <row r="1426" spans="2:28" x14ac:dyDescent="0.2">
      <c r="B1426" s="182"/>
      <c r="C1426" s="182"/>
      <c r="D1426" s="182"/>
      <c r="E1426" s="182"/>
      <c r="F1426" s="182"/>
      <c r="I1426" s="40"/>
      <c r="J1426" s="186"/>
      <c r="K1426" s="186"/>
      <c r="L1426" s="186"/>
      <c r="M1426" s="186"/>
      <c r="N1426" s="186"/>
      <c r="O1426" s="186"/>
      <c r="P1426" s="186"/>
      <c r="Q1426" s="182"/>
      <c r="R1426" s="182"/>
      <c r="S1426" s="182"/>
      <c r="T1426" s="186"/>
      <c r="U1426" s="186"/>
      <c r="AA1426" s="35"/>
      <c r="AB1426" s="35"/>
    </row>
    <row r="1427" spans="2:28" x14ac:dyDescent="0.2">
      <c r="B1427" s="182"/>
      <c r="C1427" s="182"/>
      <c r="D1427" s="182"/>
      <c r="E1427" s="182"/>
      <c r="F1427" s="182"/>
      <c r="I1427" s="40"/>
      <c r="J1427" s="186"/>
      <c r="K1427" s="186"/>
      <c r="L1427" s="186"/>
      <c r="M1427" s="186"/>
      <c r="N1427" s="186"/>
      <c r="O1427" s="186"/>
      <c r="P1427" s="186"/>
      <c r="Q1427" s="182"/>
      <c r="R1427" s="182"/>
      <c r="S1427" s="182"/>
      <c r="T1427" s="186"/>
      <c r="U1427" s="186"/>
      <c r="AA1427" s="35"/>
      <c r="AB1427" s="35"/>
    </row>
    <row r="1428" spans="2:28" x14ac:dyDescent="0.2">
      <c r="B1428" s="182"/>
      <c r="C1428" s="182"/>
      <c r="D1428" s="182"/>
      <c r="E1428" s="182"/>
      <c r="F1428" s="182"/>
      <c r="I1428" s="40"/>
      <c r="J1428" s="186"/>
      <c r="K1428" s="186"/>
      <c r="L1428" s="186"/>
      <c r="M1428" s="186"/>
      <c r="N1428" s="186"/>
      <c r="O1428" s="186"/>
      <c r="P1428" s="186"/>
      <c r="Q1428" s="182"/>
      <c r="R1428" s="182"/>
      <c r="S1428" s="182"/>
      <c r="T1428" s="186"/>
      <c r="U1428" s="186"/>
      <c r="AA1428" s="35"/>
      <c r="AB1428" s="35"/>
    </row>
    <row r="1429" spans="2:28" x14ac:dyDescent="0.2">
      <c r="B1429" s="182"/>
      <c r="C1429" s="182"/>
      <c r="D1429" s="182"/>
      <c r="E1429" s="182"/>
      <c r="F1429" s="182"/>
      <c r="I1429" s="40"/>
      <c r="J1429" s="186"/>
      <c r="K1429" s="186"/>
      <c r="L1429" s="186"/>
      <c r="M1429" s="186"/>
      <c r="N1429" s="186"/>
      <c r="O1429" s="186"/>
      <c r="P1429" s="186"/>
      <c r="Q1429" s="182"/>
      <c r="R1429" s="182"/>
      <c r="S1429" s="182"/>
      <c r="T1429" s="186"/>
      <c r="U1429" s="186"/>
      <c r="AA1429" s="35"/>
      <c r="AB1429" s="35"/>
    </row>
    <row r="1430" spans="2:28" x14ac:dyDescent="0.2">
      <c r="B1430" s="182"/>
      <c r="C1430" s="182"/>
      <c r="D1430" s="182"/>
      <c r="E1430" s="182"/>
      <c r="F1430" s="182"/>
      <c r="I1430" s="40"/>
      <c r="J1430" s="186"/>
      <c r="K1430" s="186"/>
      <c r="L1430" s="186"/>
      <c r="M1430" s="186"/>
      <c r="N1430" s="186"/>
      <c r="O1430" s="186"/>
      <c r="P1430" s="186"/>
      <c r="Q1430" s="182"/>
      <c r="R1430" s="182"/>
      <c r="S1430" s="182"/>
      <c r="T1430" s="186"/>
      <c r="U1430" s="186"/>
      <c r="AA1430" s="35"/>
      <c r="AB1430" s="35"/>
    </row>
    <row r="1431" spans="2:28" x14ac:dyDescent="0.2">
      <c r="B1431" s="182"/>
      <c r="C1431" s="182"/>
      <c r="D1431" s="182"/>
      <c r="E1431" s="182"/>
      <c r="F1431" s="182"/>
      <c r="I1431" s="40"/>
      <c r="J1431" s="186"/>
      <c r="K1431" s="186"/>
      <c r="L1431" s="186"/>
      <c r="M1431" s="186"/>
      <c r="N1431" s="186"/>
      <c r="O1431" s="186"/>
      <c r="P1431" s="186"/>
      <c r="Q1431" s="182"/>
      <c r="R1431" s="182"/>
      <c r="S1431" s="182"/>
      <c r="T1431" s="186"/>
      <c r="U1431" s="186"/>
      <c r="AA1431" s="35"/>
      <c r="AB1431" s="35"/>
    </row>
    <row r="1432" spans="2:28" x14ac:dyDescent="0.2">
      <c r="B1432" s="182"/>
      <c r="C1432" s="182"/>
      <c r="D1432" s="182"/>
      <c r="E1432" s="182"/>
      <c r="F1432" s="182"/>
      <c r="I1432" s="40"/>
      <c r="J1432" s="186"/>
      <c r="K1432" s="186"/>
      <c r="L1432" s="186"/>
      <c r="M1432" s="186"/>
      <c r="N1432" s="186"/>
      <c r="O1432" s="186"/>
      <c r="P1432" s="186"/>
      <c r="Q1432" s="182"/>
      <c r="R1432" s="182"/>
      <c r="S1432" s="182"/>
      <c r="T1432" s="186"/>
      <c r="U1432" s="186"/>
      <c r="AA1432" s="35"/>
      <c r="AB1432" s="35"/>
    </row>
    <row r="1433" spans="2:28" x14ac:dyDescent="0.2">
      <c r="B1433" s="182"/>
      <c r="C1433" s="182"/>
      <c r="D1433" s="182"/>
      <c r="E1433" s="182"/>
      <c r="F1433" s="182"/>
      <c r="I1433" s="40"/>
      <c r="J1433" s="186"/>
      <c r="K1433" s="186"/>
      <c r="L1433" s="186"/>
      <c r="M1433" s="186"/>
      <c r="N1433" s="186"/>
      <c r="O1433" s="186"/>
      <c r="P1433" s="186"/>
      <c r="Q1433" s="182"/>
      <c r="R1433" s="182"/>
      <c r="S1433" s="182"/>
      <c r="T1433" s="186"/>
      <c r="U1433" s="186"/>
      <c r="AA1433" s="35"/>
      <c r="AB1433" s="35"/>
    </row>
    <row r="1434" spans="2:28" x14ac:dyDescent="0.2">
      <c r="B1434" s="182"/>
      <c r="C1434" s="182"/>
      <c r="D1434" s="182"/>
      <c r="E1434" s="182"/>
      <c r="F1434" s="182"/>
      <c r="I1434" s="40"/>
      <c r="J1434" s="186"/>
      <c r="K1434" s="186"/>
      <c r="L1434" s="186"/>
      <c r="M1434" s="186"/>
      <c r="N1434" s="186"/>
      <c r="O1434" s="186"/>
      <c r="P1434" s="186"/>
      <c r="Q1434" s="182"/>
      <c r="R1434" s="182"/>
      <c r="S1434" s="182"/>
      <c r="T1434" s="186"/>
      <c r="U1434" s="186"/>
      <c r="AA1434" s="35"/>
      <c r="AB1434" s="35"/>
    </row>
    <row r="1435" spans="2:28" x14ac:dyDescent="0.2">
      <c r="B1435" s="182"/>
      <c r="C1435" s="182"/>
      <c r="D1435" s="182"/>
      <c r="E1435" s="182"/>
      <c r="F1435" s="182"/>
      <c r="I1435" s="40"/>
      <c r="J1435" s="186"/>
      <c r="K1435" s="186"/>
      <c r="L1435" s="186"/>
      <c r="M1435" s="186"/>
      <c r="N1435" s="186"/>
      <c r="O1435" s="186"/>
      <c r="P1435" s="186"/>
      <c r="Q1435" s="182"/>
      <c r="R1435" s="182"/>
      <c r="S1435" s="182"/>
      <c r="T1435" s="186"/>
      <c r="U1435" s="186"/>
      <c r="AA1435" s="35"/>
      <c r="AB1435" s="35"/>
    </row>
    <row r="1436" spans="2:28" x14ac:dyDescent="0.2">
      <c r="B1436" s="182"/>
      <c r="C1436" s="182"/>
      <c r="D1436" s="182"/>
      <c r="E1436" s="182"/>
      <c r="F1436" s="182"/>
      <c r="I1436" s="40"/>
      <c r="J1436" s="186"/>
      <c r="K1436" s="186"/>
      <c r="L1436" s="186"/>
      <c r="M1436" s="186"/>
      <c r="N1436" s="186"/>
      <c r="O1436" s="186"/>
      <c r="P1436" s="186"/>
      <c r="Q1436" s="182"/>
      <c r="R1436" s="182"/>
      <c r="S1436" s="182"/>
      <c r="T1436" s="186"/>
      <c r="U1436" s="186"/>
      <c r="AA1436" s="35"/>
      <c r="AB1436" s="35"/>
    </row>
    <row r="1437" spans="2:28" x14ac:dyDescent="0.2">
      <c r="B1437" s="182"/>
      <c r="C1437" s="182"/>
      <c r="D1437" s="182"/>
      <c r="E1437" s="182"/>
      <c r="F1437" s="182"/>
      <c r="I1437" s="40"/>
      <c r="J1437" s="186"/>
      <c r="K1437" s="186"/>
      <c r="L1437" s="186"/>
      <c r="M1437" s="186"/>
      <c r="N1437" s="186"/>
      <c r="O1437" s="186"/>
      <c r="P1437" s="186"/>
      <c r="Q1437" s="182"/>
      <c r="R1437" s="182"/>
      <c r="S1437" s="182"/>
      <c r="T1437" s="186"/>
      <c r="U1437" s="186"/>
      <c r="AA1437" s="35"/>
      <c r="AB1437" s="35"/>
    </row>
    <row r="1438" spans="2:28" x14ac:dyDescent="0.2">
      <c r="B1438" s="182"/>
      <c r="C1438" s="182"/>
      <c r="D1438" s="182"/>
      <c r="E1438" s="182"/>
      <c r="F1438" s="182"/>
      <c r="I1438" s="40"/>
      <c r="J1438" s="186"/>
      <c r="K1438" s="186"/>
      <c r="L1438" s="186"/>
      <c r="M1438" s="186"/>
      <c r="N1438" s="186"/>
      <c r="O1438" s="186"/>
      <c r="P1438" s="186"/>
      <c r="Q1438" s="182"/>
      <c r="R1438" s="182"/>
      <c r="S1438" s="182"/>
      <c r="T1438" s="186"/>
      <c r="U1438" s="186"/>
      <c r="AA1438" s="35"/>
      <c r="AB1438" s="35"/>
    </row>
    <row r="1439" spans="2:28" x14ac:dyDescent="0.2">
      <c r="B1439" s="182"/>
      <c r="C1439" s="182"/>
      <c r="D1439" s="182"/>
      <c r="E1439" s="182"/>
      <c r="F1439" s="182"/>
      <c r="I1439" s="40"/>
      <c r="J1439" s="186"/>
      <c r="K1439" s="186"/>
      <c r="L1439" s="186"/>
      <c r="M1439" s="186"/>
      <c r="N1439" s="186"/>
      <c r="O1439" s="186"/>
      <c r="P1439" s="186"/>
      <c r="Q1439" s="182"/>
      <c r="R1439" s="182"/>
      <c r="S1439" s="182"/>
      <c r="T1439" s="186"/>
      <c r="U1439" s="186"/>
      <c r="AA1439" s="35"/>
      <c r="AB1439" s="35"/>
    </row>
    <row r="1440" spans="2:28" x14ac:dyDescent="0.2">
      <c r="B1440" s="182"/>
      <c r="C1440" s="182"/>
      <c r="D1440" s="182"/>
      <c r="E1440" s="182"/>
      <c r="F1440" s="182"/>
      <c r="I1440" s="40"/>
      <c r="J1440" s="186"/>
      <c r="K1440" s="186"/>
      <c r="L1440" s="186"/>
      <c r="M1440" s="186"/>
      <c r="N1440" s="186"/>
      <c r="O1440" s="186"/>
      <c r="P1440" s="186"/>
      <c r="Q1440" s="182"/>
      <c r="R1440" s="182"/>
      <c r="S1440" s="182"/>
      <c r="T1440" s="186"/>
      <c r="U1440" s="186"/>
      <c r="AA1440" s="35"/>
      <c r="AB1440" s="35"/>
    </row>
    <row r="1441" spans="2:28" x14ac:dyDescent="0.2">
      <c r="B1441" s="182"/>
      <c r="C1441" s="182"/>
      <c r="D1441" s="182"/>
      <c r="E1441" s="182"/>
      <c r="F1441" s="182"/>
      <c r="I1441" s="40"/>
      <c r="J1441" s="186"/>
      <c r="K1441" s="186"/>
      <c r="L1441" s="186"/>
      <c r="M1441" s="186"/>
      <c r="N1441" s="186"/>
      <c r="O1441" s="186"/>
      <c r="P1441" s="186"/>
      <c r="Q1441" s="182"/>
      <c r="R1441" s="182"/>
      <c r="S1441" s="182"/>
      <c r="T1441" s="186"/>
      <c r="U1441" s="186"/>
      <c r="AA1441" s="35"/>
      <c r="AB1441" s="35"/>
    </row>
    <row r="1442" spans="2:28" x14ac:dyDescent="0.2">
      <c r="B1442" s="182"/>
      <c r="C1442" s="182"/>
      <c r="D1442" s="182"/>
      <c r="E1442" s="182"/>
      <c r="F1442" s="182"/>
      <c r="I1442" s="40"/>
      <c r="J1442" s="186"/>
      <c r="K1442" s="186"/>
      <c r="L1442" s="186"/>
      <c r="M1442" s="186"/>
      <c r="N1442" s="186"/>
      <c r="O1442" s="186"/>
      <c r="P1442" s="186"/>
      <c r="Q1442" s="182"/>
      <c r="R1442" s="182"/>
      <c r="S1442" s="182"/>
      <c r="T1442" s="186"/>
      <c r="U1442" s="186"/>
      <c r="AA1442" s="35"/>
      <c r="AB1442" s="35"/>
    </row>
    <row r="1443" spans="2:28" x14ac:dyDescent="0.2">
      <c r="B1443" s="182"/>
      <c r="C1443" s="182"/>
      <c r="D1443" s="182"/>
      <c r="E1443" s="182"/>
      <c r="F1443" s="182"/>
      <c r="I1443" s="40"/>
      <c r="J1443" s="186"/>
      <c r="K1443" s="186"/>
      <c r="L1443" s="186"/>
      <c r="M1443" s="186"/>
      <c r="N1443" s="186"/>
      <c r="O1443" s="186"/>
      <c r="P1443" s="186"/>
      <c r="Q1443" s="182"/>
      <c r="R1443" s="182"/>
      <c r="S1443" s="182"/>
      <c r="T1443" s="186"/>
      <c r="U1443" s="186"/>
      <c r="AA1443" s="35"/>
      <c r="AB1443" s="35"/>
    </row>
    <row r="1444" spans="2:28" x14ac:dyDescent="0.2">
      <c r="B1444" s="182"/>
      <c r="C1444" s="182"/>
      <c r="D1444" s="182"/>
      <c r="E1444" s="182"/>
      <c r="F1444" s="182"/>
      <c r="I1444" s="40"/>
      <c r="J1444" s="186"/>
      <c r="K1444" s="186"/>
      <c r="L1444" s="186"/>
      <c r="M1444" s="186"/>
      <c r="N1444" s="186"/>
      <c r="O1444" s="186"/>
      <c r="P1444" s="186"/>
      <c r="Q1444" s="182"/>
      <c r="R1444" s="182"/>
      <c r="S1444" s="182"/>
      <c r="T1444" s="186"/>
      <c r="U1444" s="186"/>
      <c r="AA1444" s="35"/>
      <c r="AB1444" s="35"/>
    </row>
    <row r="1445" spans="2:28" x14ac:dyDescent="0.2">
      <c r="B1445" s="182"/>
      <c r="C1445" s="182"/>
      <c r="D1445" s="182"/>
      <c r="E1445" s="182"/>
      <c r="F1445" s="182"/>
      <c r="I1445" s="40"/>
      <c r="J1445" s="186"/>
      <c r="K1445" s="186"/>
      <c r="L1445" s="186"/>
      <c r="M1445" s="186"/>
      <c r="N1445" s="186"/>
      <c r="O1445" s="186"/>
      <c r="P1445" s="186"/>
      <c r="Q1445" s="182"/>
      <c r="R1445" s="182"/>
      <c r="S1445" s="182"/>
      <c r="T1445" s="186"/>
      <c r="U1445" s="186"/>
      <c r="AA1445" s="35"/>
      <c r="AB1445" s="35"/>
    </row>
    <row r="1446" spans="2:28" x14ac:dyDescent="0.2">
      <c r="B1446" s="182"/>
      <c r="C1446" s="182"/>
      <c r="D1446" s="182"/>
      <c r="E1446" s="182"/>
      <c r="F1446" s="182"/>
      <c r="I1446" s="40"/>
      <c r="J1446" s="186"/>
      <c r="K1446" s="186"/>
      <c r="L1446" s="186"/>
      <c r="M1446" s="186"/>
      <c r="N1446" s="186"/>
      <c r="O1446" s="186"/>
      <c r="P1446" s="186"/>
      <c r="Q1446" s="182"/>
      <c r="R1446" s="182"/>
      <c r="S1446" s="182"/>
      <c r="T1446" s="186"/>
      <c r="U1446" s="186"/>
      <c r="AA1446" s="35"/>
      <c r="AB1446" s="35"/>
    </row>
    <row r="1447" spans="2:28" x14ac:dyDescent="0.2">
      <c r="B1447" s="182"/>
      <c r="C1447" s="182"/>
      <c r="D1447" s="182"/>
      <c r="E1447" s="182"/>
      <c r="F1447" s="182"/>
      <c r="I1447" s="40"/>
      <c r="J1447" s="186"/>
      <c r="K1447" s="186"/>
      <c r="L1447" s="186"/>
      <c r="M1447" s="186"/>
      <c r="N1447" s="186"/>
      <c r="O1447" s="186"/>
      <c r="P1447" s="186"/>
      <c r="Q1447" s="182"/>
      <c r="R1447" s="182"/>
      <c r="S1447" s="182"/>
      <c r="T1447" s="186"/>
      <c r="U1447" s="186"/>
      <c r="AA1447" s="35"/>
      <c r="AB1447" s="35"/>
    </row>
    <row r="1448" spans="2:28" x14ac:dyDescent="0.2">
      <c r="B1448" s="182"/>
      <c r="C1448" s="182"/>
      <c r="D1448" s="182"/>
      <c r="E1448" s="182"/>
      <c r="F1448" s="182"/>
      <c r="I1448" s="40"/>
      <c r="J1448" s="186"/>
      <c r="K1448" s="186"/>
      <c r="L1448" s="186"/>
      <c r="M1448" s="186"/>
      <c r="N1448" s="186"/>
      <c r="O1448" s="186"/>
      <c r="P1448" s="186"/>
      <c r="Q1448" s="182"/>
      <c r="R1448" s="182"/>
      <c r="S1448" s="182"/>
      <c r="T1448" s="186"/>
      <c r="U1448" s="186"/>
      <c r="AA1448" s="35"/>
      <c r="AB1448" s="35"/>
    </row>
    <row r="1449" spans="2:28" x14ac:dyDescent="0.2">
      <c r="B1449" s="182"/>
      <c r="C1449" s="182"/>
      <c r="D1449" s="182"/>
      <c r="E1449" s="182"/>
      <c r="F1449" s="182"/>
      <c r="I1449" s="40"/>
      <c r="J1449" s="186"/>
      <c r="K1449" s="186"/>
      <c r="L1449" s="186"/>
      <c r="M1449" s="186"/>
      <c r="N1449" s="186"/>
      <c r="O1449" s="186"/>
      <c r="P1449" s="186"/>
      <c r="Q1449" s="182"/>
      <c r="R1449" s="182"/>
      <c r="S1449" s="182"/>
      <c r="T1449" s="186"/>
      <c r="U1449" s="186"/>
      <c r="AA1449" s="35"/>
      <c r="AB1449" s="35"/>
    </row>
    <row r="1450" spans="2:28" x14ac:dyDescent="0.2">
      <c r="B1450" s="182"/>
      <c r="C1450" s="182"/>
      <c r="D1450" s="182"/>
      <c r="E1450" s="182"/>
      <c r="F1450" s="182"/>
      <c r="I1450" s="40"/>
      <c r="J1450" s="186"/>
      <c r="K1450" s="186"/>
      <c r="L1450" s="186"/>
      <c r="M1450" s="186"/>
      <c r="N1450" s="186"/>
      <c r="O1450" s="186"/>
      <c r="P1450" s="186"/>
      <c r="Q1450" s="182"/>
      <c r="R1450" s="182"/>
      <c r="S1450" s="182"/>
      <c r="T1450" s="186"/>
      <c r="U1450" s="186"/>
      <c r="AA1450" s="35"/>
      <c r="AB1450" s="35"/>
    </row>
    <row r="1451" spans="2:28" x14ac:dyDescent="0.2">
      <c r="B1451" s="182"/>
      <c r="C1451" s="182"/>
      <c r="D1451" s="182"/>
      <c r="E1451" s="182"/>
      <c r="F1451" s="182"/>
      <c r="I1451" s="40"/>
      <c r="J1451" s="186"/>
      <c r="K1451" s="186"/>
      <c r="L1451" s="186"/>
      <c r="M1451" s="186"/>
      <c r="N1451" s="186"/>
      <c r="O1451" s="186"/>
      <c r="P1451" s="186"/>
      <c r="Q1451" s="182"/>
      <c r="R1451" s="182"/>
      <c r="S1451" s="182"/>
      <c r="T1451" s="186"/>
      <c r="U1451" s="186"/>
      <c r="AA1451" s="35"/>
      <c r="AB1451" s="35"/>
    </row>
    <row r="1452" spans="2:28" x14ac:dyDescent="0.2">
      <c r="B1452" s="182"/>
      <c r="C1452" s="182"/>
      <c r="D1452" s="182"/>
      <c r="E1452" s="182"/>
      <c r="F1452" s="182"/>
      <c r="I1452" s="40"/>
      <c r="J1452" s="186"/>
      <c r="K1452" s="186"/>
      <c r="L1452" s="186"/>
      <c r="M1452" s="186"/>
      <c r="N1452" s="186"/>
      <c r="O1452" s="186"/>
      <c r="P1452" s="186"/>
      <c r="Q1452" s="182"/>
      <c r="R1452" s="182"/>
      <c r="S1452" s="182"/>
      <c r="T1452" s="186"/>
      <c r="U1452" s="186"/>
      <c r="AA1452" s="35"/>
      <c r="AB1452" s="35"/>
    </row>
    <row r="1453" spans="2:28" x14ac:dyDescent="0.2">
      <c r="B1453" s="182"/>
      <c r="C1453" s="182"/>
      <c r="D1453" s="182"/>
      <c r="E1453" s="182"/>
      <c r="F1453" s="182"/>
      <c r="I1453" s="40"/>
      <c r="J1453" s="186"/>
      <c r="K1453" s="186"/>
      <c r="L1453" s="186"/>
      <c r="M1453" s="186"/>
      <c r="N1453" s="186"/>
      <c r="O1453" s="186"/>
      <c r="P1453" s="186"/>
      <c r="Q1453" s="182"/>
      <c r="R1453" s="182"/>
      <c r="S1453" s="182"/>
      <c r="T1453" s="186"/>
      <c r="U1453" s="186"/>
      <c r="AA1453" s="35"/>
      <c r="AB1453" s="35"/>
    </row>
    <row r="1454" spans="2:28" x14ac:dyDescent="0.2">
      <c r="B1454" s="182"/>
      <c r="C1454" s="182"/>
      <c r="D1454" s="182"/>
      <c r="E1454" s="182"/>
      <c r="F1454" s="182"/>
      <c r="I1454" s="40"/>
      <c r="J1454" s="186"/>
      <c r="K1454" s="186"/>
      <c r="L1454" s="186"/>
      <c r="M1454" s="186"/>
      <c r="N1454" s="186"/>
      <c r="O1454" s="186"/>
      <c r="P1454" s="186"/>
      <c r="Q1454" s="182"/>
      <c r="R1454" s="182"/>
      <c r="S1454" s="182"/>
      <c r="T1454" s="186"/>
      <c r="U1454" s="186"/>
      <c r="AA1454" s="35"/>
      <c r="AB1454" s="35"/>
    </row>
    <row r="1455" spans="2:28" x14ac:dyDescent="0.2">
      <c r="B1455" s="182"/>
      <c r="C1455" s="182"/>
      <c r="D1455" s="182"/>
      <c r="E1455" s="182"/>
      <c r="F1455" s="182"/>
      <c r="I1455" s="40"/>
      <c r="J1455" s="186"/>
      <c r="K1455" s="186"/>
      <c r="L1455" s="186"/>
      <c r="M1455" s="186"/>
      <c r="N1455" s="186"/>
      <c r="O1455" s="186"/>
      <c r="P1455" s="186"/>
      <c r="Q1455" s="182"/>
      <c r="R1455" s="182"/>
      <c r="S1455" s="182"/>
      <c r="T1455" s="186"/>
      <c r="U1455" s="186"/>
      <c r="AA1455" s="35"/>
      <c r="AB1455" s="35"/>
    </row>
    <row r="1456" spans="2:28" x14ac:dyDescent="0.2">
      <c r="B1456" s="182"/>
      <c r="C1456" s="182"/>
      <c r="D1456" s="182"/>
      <c r="E1456" s="182"/>
      <c r="F1456" s="182"/>
      <c r="I1456" s="40"/>
      <c r="J1456" s="186"/>
      <c r="K1456" s="186"/>
      <c r="L1456" s="186"/>
      <c r="M1456" s="186"/>
      <c r="N1456" s="186"/>
      <c r="O1456" s="186"/>
      <c r="P1456" s="186"/>
      <c r="Q1456" s="182"/>
      <c r="R1456" s="182"/>
      <c r="S1456" s="182"/>
      <c r="T1456" s="186"/>
      <c r="U1456" s="186"/>
      <c r="AA1456" s="35"/>
      <c r="AB1456" s="35"/>
    </row>
    <row r="1457" spans="2:28" x14ac:dyDescent="0.2">
      <c r="B1457" s="182"/>
      <c r="C1457" s="182"/>
      <c r="D1457" s="182"/>
      <c r="E1457" s="182"/>
      <c r="F1457" s="182"/>
      <c r="I1457" s="40"/>
      <c r="J1457" s="186"/>
      <c r="K1457" s="186"/>
      <c r="L1457" s="186"/>
      <c r="M1457" s="186"/>
      <c r="N1457" s="186"/>
      <c r="O1457" s="186"/>
      <c r="P1457" s="186"/>
      <c r="Q1457" s="182"/>
      <c r="R1457" s="182"/>
      <c r="S1457" s="182"/>
      <c r="T1457" s="186"/>
      <c r="U1457" s="186"/>
      <c r="AA1457" s="35"/>
      <c r="AB1457" s="35"/>
    </row>
    <row r="1458" spans="2:28" x14ac:dyDescent="0.2">
      <c r="B1458" s="182"/>
      <c r="C1458" s="182"/>
      <c r="D1458" s="182"/>
      <c r="E1458" s="182"/>
      <c r="F1458" s="182"/>
      <c r="I1458" s="40"/>
      <c r="J1458" s="186"/>
      <c r="K1458" s="186"/>
      <c r="L1458" s="186"/>
      <c r="M1458" s="186"/>
      <c r="N1458" s="186"/>
      <c r="O1458" s="186"/>
      <c r="P1458" s="186"/>
      <c r="Q1458" s="182"/>
      <c r="R1458" s="182"/>
      <c r="S1458" s="182"/>
      <c r="T1458" s="186"/>
      <c r="U1458" s="186"/>
      <c r="AA1458" s="35"/>
      <c r="AB1458" s="35"/>
    </row>
    <row r="1459" spans="2:28" x14ac:dyDescent="0.2">
      <c r="B1459" s="182"/>
      <c r="C1459" s="182"/>
      <c r="D1459" s="182"/>
      <c r="E1459" s="182"/>
      <c r="F1459" s="182"/>
      <c r="I1459" s="40"/>
      <c r="J1459" s="186"/>
      <c r="K1459" s="186"/>
      <c r="L1459" s="186"/>
      <c r="M1459" s="186"/>
      <c r="N1459" s="186"/>
      <c r="O1459" s="186"/>
      <c r="P1459" s="186"/>
      <c r="Q1459" s="182"/>
      <c r="R1459" s="182"/>
      <c r="S1459" s="182"/>
      <c r="T1459" s="186"/>
      <c r="U1459" s="186"/>
      <c r="AA1459" s="35"/>
      <c r="AB1459" s="35"/>
    </row>
    <row r="1460" spans="2:28" x14ac:dyDescent="0.2">
      <c r="B1460" s="182"/>
      <c r="C1460" s="182"/>
      <c r="D1460" s="182"/>
      <c r="E1460" s="182"/>
      <c r="F1460" s="182"/>
      <c r="I1460" s="40"/>
      <c r="J1460" s="186"/>
      <c r="K1460" s="186"/>
      <c r="L1460" s="186"/>
      <c r="M1460" s="186"/>
      <c r="N1460" s="186"/>
      <c r="O1460" s="186"/>
      <c r="P1460" s="186"/>
      <c r="Q1460" s="182"/>
      <c r="R1460" s="182"/>
      <c r="S1460" s="182"/>
      <c r="T1460" s="186"/>
      <c r="U1460" s="186"/>
      <c r="AA1460" s="35"/>
      <c r="AB1460" s="35"/>
    </row>
    <row r="1461" spans="2:28" x14ac:dyDescent="0.2">
      <c r="B1461" s="182"/>
      <c r="C1461" s="182"/>
      <c r="D1461" s="182"/>
      <c r="E1461" s="182"/>
      <c r="F1461" s="182"/>
      <c r="I1461" s="40"/>
      <c r="J1461" s="186"/>
      <c r="K1461" s="186"/>
      <c r="L1461" s="186"/>
      <c r="M1461" s="186"/>
      <c r="N1461" s="186"/>
      <c r="O1461" s="186"/>
      <c r="P1461" s="186"/>
      <c r="Q1461" s="182"/>
      <c r="R1461" s="182"/>
      <c r="S1461" s="182"/>
      <c r="T1461" s="186"/>
      <c r="U1461" s="186"/>
      <c r="AA1461" s="35"/>
      <c r="AB1461" s="35"/>
    </row>
    <row r="1462" spans="2:28" x14ac:dyDescent="0.2">
      <c r="B1462" s="182"/>
      <c r="C1462" s="182"/>
      <c r="D1462" s="182"/>
      <c r="E1462" s="182"/>
      <c r="F1462" s="182"/>
      <c r="I1462" s="40"/>
      <c r="J1462" s="186"/>
      <c r="K1462" s="186"/>
      <c r="L1462" s="186"/>
      <c r="M1462" s="186"/>
      <c r="N1462" s="186"/>
      <c r="O1462" s="186"/>
      <c r="P1462" s="186"/>
      <c r="Q1462" s="182"/>
      <c r="R1462" s="182"/>
      <c r="S1462" s="182"/>
      <c r="T1462" s="186"/>
      <c r="U1462" s="186"/>
      <c r="AA1462" s="35"/>
      <c r="AB1462" s="35"/>
    </row>
    <row r="1463" spans="2:28" x14ac:dyDescent="0.2">
      <c r="B1463" s="182"/>
      <c r="C1463" s="182"/>
      <c r="D1463" s="182"/>
      <c r="E1463" s="182"/>
      <c r="F1463" s="182"/>
      <c r="I1463" s="40"/>
      <c r="J1463" s="186"/>
      <c r="K1463" s="186"/>
      <c r="L1463" s="186"/>
      <c r="M1463" s="186"/>
      <c r="N1463" s="186"/>
      <c r="O1463" s="186"/>
      <c r="P1463" s="186"/>
      <c r="Q1463" s="182"/>
      <c r="R1463" s="182"/>
      <c r="S1463" s="182"/>
      <c r="T1463" s="186"/>
      <c r="U1463" s="186"/>
      <c r="AA1463" s="35"/>
      <c r="AB1463" s="35"/>
    </row>
    <row r="1464" spans="2:28" x14ac:dyDescent="0.2">
      <c r="B1464" s="182"/>
      <c r="C1464" s="182"/>
      <c r="D1464" s="182"/>
      <c r="E1464" s="182"/>
      <c r="F1464" s="182"/>
      <c r="I1464" s="40"/>
      <c r="J1464" s="186"/>
      <c r="K1464" s="186"/>
      <c r="L1464" s="186"/>
      <c r="M1464" s="186"/>
      <c r="N1464" s="186"/>
      <c r="O1464" s="186"/>
      <c r="P1464" s="186"/>
      <c r="Q1464" s="182"/>
      <c r="R1464" s="182"/>
      <c r="S1464" s="182"/>
      <c r="T1464" s="186"/>
      <c r="U1464" s="186"/>
      <c r="AA1464" s="35"/>
      <c r="AB1464" s="35"/>
    </row>
    <row r="1465" spans="2:28" x14ac:dyDescent="0.2">
      <c r="B1465" s="182"/>
      <c r="C1465" s="182"/>
      <c r="D1465" s="182"/>
      <c r="E1465" s="182"/>
      <c r="F1465" s="182"/>
      <c r="I1465" s="40"/>
      <c r="J1465" s="186"/>
      <c r="K1465" s="186"/>
      <c r="L1465" s="186"/>
      <c r="M1465" s="186"/>
      <c r="N1465" s="186"/>
      <c r="O1465" s="186"/>
      <c r="P1465" s="186"/>
      <c r="Q1465" s="182"/>
      <c r="R1465" s="182"/>
      <c r="S1465" s="182"/>
      <c r="T1465" s="186"/>
      <c r="U1465" s="186"/>
      <c r="AA1465" s="35"/>
      <c r="AB1465" s="35"/>
    </row>
    <row r="1466" spans="2:28" x14ac:dyDescent="0.2">
      <c r="B1466" s="182"/>
      <c r="C1466" s="182"/>
      <c r="D1466" s="182"/>
      <c r="E1466" s="182"/>
      <c r="F1466" s="182"/>
      <c r="I1466" s="40"/>
      <c r="J1466" s="186"/>
      <c r="K1466" s="186"/>
      <c r="L1466" s="186"/>
      <c r="M1466" s="186"/>
      <c r="N1466" s="186"/>
      <c r="O1466" s="186"/>
      <c r="P1466" s="186"/>
      <c r="Q1466" s="182"/>
      <c r="R1466" s="182"/>
      <c r="S1466" s="182"/>
      <c r="T1466" s="186"/>
      <c r="U1466" s="186"/>
      <c r="AA1466" s="35"/>
      <c r="AB1466" s="35"/>
    </row>
    <row r="1467" spans="2:28" x14ac:dyDescent="0.2">
      <c r="B1467" s="182"/>
      <c r="C1467" s="182"/>
      <c r="D1467" s="182"/>
      <c r="E1467" s="182"/>
      <c r="F1467" s="182"/>
      <c r="I1467" s="40"/>
      <c r="J1467" s="186"/>
      <c r="K1467" s="186"/>
      <c r="L1467" s="186"/>
      <c r="M1467" s="186"/>
      <c r="N1467" s="186"/>
      <c r="O1467" s="186"/>
      <c r="P1467" s="186"/>
      <c r="Q1467" s="182"/>
      <c r="R1467" s="182"/>
      <c r="S1467" s="182"/>
      <c r="T1467" s="186"/>
      <c r="U1467" s="186"/>
      <c r="AA1467" s="35"/>
      <c r="AB1467" s="35"/>
    </row>
    <row r="1468" spans="2:28" x14ac:dyDescent="0.2">
      <c r="B1468" s="182"/>
      <c r="C1468" s="182"/>
      <c r="D1468" s="182"/>
      <c r="E1468" s="182"/>
      <c r="F1468" s="182"/>
      <c r="I1468" s="40"/>
      <c r="J1468" s="186"/>
      <c r="K1468" s="186"/>
      <c r="L1468" s="186"/>
      <c r="M1468" s="186"/>
      <c r="N1468" s="186"/>
      <c r="O1468" s="186"/>
      <c r="P1468" s="186"/>
      <c r="Q1468" s="182"/>
      <c r="R1468" s="182"/>
      <c r="S1468" s="182"/>
      <c r="T1468" s="186"/>
      <c r="U1468" s="186"/>
      <c r="AA1468" s="35"/>
      <c r="AB1468" s="35"/>
    </row>
    <row r="1469" spans="2:28" x14ac:dyDescent="0.2">
      <c r="B1469" s="182"/>
      <c r="C1469" s="182"/>
      <c r="D1469" s="182"/>
      <c r="E1469" s="182"/>
      <c r="F1469" s="182"/>
      <c r="I1469" s="40"/>
      <c r="J1469" s="186"/>
      <c r="K1469" s="186"/>
      <c r="L1469" s="186"/>
      <c r="M1469" s="186"/>
      <c r="N1469" s="186"/>
      <c r="O1469" s="186"/>
      <c r="P1469" s="186"/>
      <c r="Q1469" s="182"/>
      <c r="R1469" s="182"/>
      <c r="S1469" s="182"/>
      <c r="T1469" s="186"/>
      <c r="U1469" s="186"/>
      <c r="AA1469" s="35"/>
      <c r="AB1469" s="35"/>
    </row>
    <row r="1470" spans="2:28" x14ac:dyDescent="0.2">
      <c r="B1470" s="182"/>
      <c r="C1470" s="182"/>
      <c r="D1470" s="182"/>
      <c r="E1470" s="182"/>
      <c r="F1470" s="182"/>
      <c r="I1470" s="40"/>
      <c r="J1470" s="186"/>
      <c r="K1470" s="186"/>
      <c r="L1470" s="186"/>
      <c r="M1470" s="186"/>
      <c r="N1470" s="186"/>
      <c r="O1470" s="186"/>
      <c r="P1470" s="186"/>
      <c r="Q1470" s="182"/>
      <c r="R1470" s="182"/>
      <c r="S1470" s="182"/>
      <c r="T1470" s="186"/>
      <c r="U1470" s="186"/>
      <c r="AA1470" s="35"/>
      <c r="AB1470" s="35"/>
    </row>
    <row r="1471" spans="2:28" x14ac:dyDescent="0.2">
      <c r="B1471" s="182"/>
      <c r="C1471" s="182"/>
      <c r="D1471" s="182"/>
      <c r="E1471" s="182"/>
      <c r="F1471" s="182"/>
      <c r="I1471" s="40"/>
      <c r="J1471" s="186"/>
      <c r="K1471" s="186"/>
      <c r="L1471" s="186"/>
      <c r="M1471" s="186"/>
      <c r="N1471" s="186"/>
      <c r="O1471" s="186"/>
      <c r="P1471" s="186"/>
      <c r="Q1471" s="182"/>
      <c r="R1471" s="182"/>
      <c r="S1471" s="182"/>
      <c r="T1471" s="186"/>
      <c r="U1471" s="186"/>
      <c r="AA1471" s="35"/>
      <c r="AB1471" s="35"/>
    </row>
    <row r="1472" spans="2:28" x14ac:dyDescent="0.2">
      <c r="B1472" s="182"/>
      <c r="C1472" s="182"/>
      <c r="D1472" s="182"/>
      <c r="E1472" s="182"/>
      <c r="F1472" s="182"/>
      <c r="I1472" s="40"/>
      <c r="J1472" s="186"/>
      <c r="K1472" s="186"/>
      <c r="L1472" s="186"/>
      <c r="M1472" s="186"/>
      <c r="N1472" s="186"/>
      <c r="O1472" s="186"/>
      <c r="P1472" s="186"/>
      <c r="Q1472" s="182"/>
      <c r="R1472" s="182"/>
      <c r="S1472" s="182"/>
      <c r="T1472" s="186"/>
      <c r="U1472" s="186"/>
      <c r="AA1472" s="35"/>
      <c r="AB1472" s="35"/>
    </row>
    <row r="1473" spans="2:28" x14ac:dyDescent="0.2">
      <c r="B1473" s="182"/>
      <c r="C1473" s="182"/>
      <c r="D1473" s="182"/>
      <c r="E1473" s="182"/>
      <c r="F1473" s="182"/>
      <c r="I1473" s="40"/>
      <c r="J1473" s="186"/>
      <c r="K1473" s="186"/>
      <c r="L1473" s="186"/>
      <c r="M1473" s="186"/>
      <c r="N1473" s="186"/>
      <c r="O1473" s="186"/>
      <c r="P1473" s="186"/>
      <c r="Q1473" s="182"/>
      <c r="R1473" s="182"/>
      <c r="S1473" s="182"/>
      <c r="T1473" s="186"/>
      <c r="U1473" s="186"/>
      <c r="AA1473" s="35"/>
      <c r="AB1473" s="35"/>
    </row>
    <row r="1474" spans="2:28" x14ac:dyDescent="0.2">
      <c r="B1474" s="182"/>
      <c r="C1474" s="182"/>
      <c r="D1474" s="182"/>
      <c r="E1474" s="182"/>
      <c r="F1474" s="182"/>
      <c r="I1474" s="40"/>
      <c r="J1474" s="186"/>
      <c r="K1474" s="186"/>
      <c r="L1474" s="186"/>
      <c r="M1474" s="186"/>
      <c r="N1474" s="186"/>
      <c r="O1474" s="186"/>
      <c r="P1474" s="186"/>
      <c r="Q1474" s="182"/>
      <c r="R1474" s="182"/>
      <c r="S1474" s="182"/>
      <c r="T1474" s="186"/>
      <c r="U1474" s="186"/>
      <c r="AA1474" s="35"/>
      <c r="AB1474" s="35"/>
    </row>
    <row r="1475" spans="2:28" x14ac:dyDescent="0.2">
      <c r="B1475" s="182"/>
      <c r="C1475" s="182"/>
      <c r="D1475" s="182"/>
      <c r="E1475" s="182"/>
      <c r="F1475" s="182"/>
      <c r="I1475" s="40"/>
      <c r="J1475" s="186"/>
      <c r="K1475" s="186"/>
      <c r="L1475" s="186"/>
      <c r="M1475" s="186"/>
      <c r="N1475" s="186"/>
      <c r="O1475" s="186"/>
      <c r="P1475" s="186"/>
      <c r="Q1475" s="182"/>
      <c r="R1475" s="182"/>
      <c r="S1475" s="182"/>
      <c r="T1475" s="186"/>
      <c r="U1475" s="186"/>
      <c r="AA1475" s="35"/>
      <c r="AB1475" s="35"/>
    </row>
    <row r="1476" spans="2:28" x14ac:dyDescent="0.2">
      <c r="B1476" s="182"/>
      <c r="C1476" s="182"/>
      <c r="D1476" s="182"/>
      <c r="E1476" s="182"/>
      <c r="F1476" s="182"/>
      <c r="I1476" s="40"/>
      <c r="J1476" s="186"/>
      <c r="K1476" s="186"/>
      <c r="L1476" s="186"/>
      <c r="M1476" s="186"/>
      <c r="N1476" s="186"/>
      <c r="O1476" s="186"/>
      <c r="P1476" s="186"/>
      <c r="Q1476" s="182"/>
      <c r="R1476" s="182"/>
      <c r="S1476" s="182"/>
      <c r="T1476" s="186"/>
      <c r="U1476" s="186"/>
      <c r="AA1476" s="35"/>
      <c r="AB1476" s="35"/>
    </row>
    <row r="1477" spans="2:28" x14ac:dyDescent="0.2">
      <c r="B1477" s="182"/>
      <c r="C1477" s="182"/>
      <c r="D1477" s="182"/>
      <c r="E1477" s="182"/>
      <c r="F1477" s="182"/>
      <c r="I1477" s="40"/>
      <c r="J1477" s="186"/>
      <c r="K1477" s="186"/>
      <c r="L1477" s="186"/>
      <c r="M1477" s="186"/>
      <c r="N1477" s="186"/>
      <c r="O1477" s="186"/>
      <c r="P1477" s="186"/>
      <c r="Q1477" s="182"/>
      <c r="R1477" s="182"/>
      <c r="S1477" s="182"/>
      <c r="T1477" s="186"/>
      <c r="U1477" s="186"/>
      <c r="AA1477" s="35"/>
      <c r="AB1477" s="35"/>
    </row>
    <row r="1478" spans="2:28" x14ac:dyDescent="0.2">
      <c r="B1478" s="182"/>
      <c r="C1478" s="182"/>
      <c r="D1478" s="182"/>
      <c r="E1478" s="182"/>
      <c r="F1478" s="182"/>
      <c r="I1478" s="40"/>
      <c r="J1478" s="186"/>
      <c r="K1478" s="186"/>
      <c r="L1478" s="186"/>
      <c r="M1478" s="186"/>
      <c r="N1478" s="186"/>
      <c r="O1478" s="186"/>
      <c r="P1478" s="186"/>
      <c r="Q1478" s="182"/>
      <c r="R1478" s="182"/>
      <c r="S1478" s="182"/>
      <c r="T1478" s="186"/>
      <c r="U1478" s="186"/>
      <c r="AA1478" s="35"/>
      <c r="AB1478" s="35"/>
    </row>
    <row r="1479" spans="2:28" x14ac:dyDescent="0.2">
      <c r="B1479" s="182"/>
      <c r="C1479" s="182"/>
      <c r="D1479" s="182"/>
      <c r="E1479" s="182"/>
      <c r="F1479" s="182"/>
      <c r="I1479" s="40"/>
      <c r="J1479" s="186"/>
      <c r="K1479" s="186"/>
      <c r="L1479" s="186"/>
      <c r="M1479" s="186"/>
      <c r="N1479" s="186"/>
      <c r="O1479" s="186"/>
      <c r="P1479" s="186"/>
      <c r="Q1479" s="182"/>
      <c r="R1479" s="182"/>
      <c r="S1479" s="182"/>
      <c r="T1479" s="186"/>
      <c r="U1479" s="186"/>
      <c r="AA1479" s="35"/>
      <c r="AB1479" s="35"/>
    </row>
    <row r="1480" spans="2:28" x14ac:dyDescent="0.2">
      <c r="B1480" s="182"/>
      <c r="C1480" s="182"/>
      <c r="D1480" s="182"/>
      <c r="E1480" s="182"/>
      <c r="F1480" s="182"/>
      <c r="I1480" s="40"/>
      <c r="J1480" s="186"/>
      <c r="K1480" s="186"/>
      <c r="L1480" s="186"/>
      <c r="M1480" s="186"/>
      <c r="N1480" s="186"/>
      <c r="O1480" s="186"/>
      <c r="P1480" s="186"/>
      <c r="Q1480" s="182"/>
      <c r="R1480" s="182"/>
      <c r="S1480" s="182"/>
      <c r="T1480" s="186"/>
      <c r="U1480" s="186"/>
      <c r="AA1480" s="35"/>
      <c r="AB1480" s="35"/>
    </row>
    <row r="1481" spans="2:28" x14ac:dyDescent="0.2">
      <c r="B1481" s="182"/>
      <c r="C1481" s="182"/>
      <c r="D1481" s="182"/>
      <c r="E1481" s="182"/>
      <c r="F1481" s="182"/>
      <c r="I1481" s="40"/>
      <c r="J1481" s="186"/>
      <c r="K1481" s="186"/>
      <c r="L1481" s="186"/>
      <c r="M1481" s="186"/>
      <c r="N1481" s="186"/>
      <c r="O1481" s="186"/>
      <c r="P1481" s="186"/>
      <c r="Q1481" s="182"/>
      <c r="R1481" s="182"/>
      <c r="S1481" s="182"/>
      <c r="T1481" s="186"/>
      <c r="U1481" s="186"/>
      <c r="AA1481" s="35"/>
      <c r="AB1481" s="35"/>
    </row>
    <row r="1482" spans="2:28" x14ac:dyDescent="0.2">
      <c r="B1482" s="182"/>
      <c r="C1482" s="182"/>
      <c r="D1482" s="182"/>
      <c r="E1482" s="182"/>
      <c r="F1482" s="182"/>
      <c r="I1482" s="40"/>
      <c r="J1482" s="186"/>
      <c r="K1482" s="186"/>
      <c r="L1482" s="186"/>
      <c r="M1482" s="186"/>
      <c r="N1482" s="186"/>
      <c r="O1482" s="186"/>
      <c r="P1482" s="186"/>
      <c r="Q1482" s="182"/>
      <c r="R1482" s="182"/>
      <c r="S1482" s="182"/>
      <c r="T1482" s="186"/>
      <c r="U1482" s="186"/>
      <c r="AA1482" s="35"/>
      <c r="AB1482" s="35"/>
    </row>
    <row r="1483" spans="2:28" x14ac:dyDescent="0.2">
      <c r="B1483" s="182"/>
      <c r="C1483" s="182"/>
      <c r="D1483" s="182"/>
      <c r="E1483" s="182"/>
      <c r="F1483" s="182"/>
      <c r="I1483" s="40"/>
      <c r="J1483" s="186"/>
      <c r="K1483" s="186"/>
      <c r="L1483" s="186"/>
      <c r="M1483" s="186"/>
      <c r="N1483" s="186"/>
      <c r="O1483" s="186"/>
      <c r="P1483" s="186"/>
      <c r="Q1483" s="182"/>
      <c r="R1483" s="182"/>
      <c r="S1483" s="182"/>
      <c r="T1483" s="186"/>
      <c r="U1483" s="186"/>
      <c r="AA1483" s="35"/>
      <c r="AB1483" s="35"/>
    </row>
    <row r="1484" spans="2:28" x14ac:dyDescent="0.2">
      <c r="B1484" s="182"/>
      <c r="C1484" s="182"/>
      <c r="D1484" s="182"/>
      <c r="E1484" s="182"/>
      <c r="F1484" s="182"/>
      <c r="I1484" s="40"/>
      <c r="J1484" s="186"/>
      <c r="K1484" s="186"/>
      <c r="L1484" s="186"/>
      <c r="M1484" s="186"/>
      <c r="N1484" s="186"/>
      <c r="O1484" s="186"/>
      <c r="P1484" s="186"/>
      <c r="Q1484" s="182"/>
      <c r="R1484" s="182"/>
      <c r="S1484" s="182"/>
      <c r="T1484" s="186"/>
      <c r="U1484" s="186"/>
      <c r="AA1484" s="35"/>
      <c r="AB1484" s="35"/>
    </row>
    <row r="1485" spans="2:28" x14ac:dyDescent="0.2">
      <c r="B1485" s="182"/>
      <c r="C1485" s="182"/>
      <c r="D1485" s="182"/>
      <c r="E1485" s="182"/>
      <c r="F1485" s="182"/>
      <c r="I1485" s="40"/>
      <c r="J1485" s="186"/>
      <c r="K1485" s="186"/>
      <c r="L1485" s="186"/>
      <c r="M1485" s="186"/>
      <c r="N1485" s="186"/>
      <c r="O1485" s="186"/>
      <c r="P1485" s="186"/>
      <c r="Q1485" s="182"/>
      <c r="R1485" s="182"/>
      <c r="S1485" s="182"/>
      <c r="T1485" s="186"/>
      <c r="U1485" s="186"/>
      <c r="AA1485" s="35"/>
      <c r="AB1485" s="35"/>
    </row>
    <row r="1486" spans="2:28" x14ac:dyDescent="0.2">
      <c r="B1486" s="182"/>
      <c r="C1486" s="182"/>
      <c r="D1486" s="182"/>
      <c r="E1486" s="182"/>
      <c r="F1486" s="182"/>
      <c r="I1486" s="40"/>
      <c r="J1486" s="186"/>
      <c r="K1486" s="186"/>
      <c r="L1486" s="186"/>
      <c r="M1486" s="186"/>
      <c r="N1486" s="186"/>
      <c r="O1486" s="186"/>
      <c r="P1486" s="186"/>
      <c r="Q1486" s="182"/>
      <c r="R1486" s="182"/>
      <c r="S1486" s="182"/>
      <c r="T1486" s="186"/>
      <c r="U1486" s="186"/>
      <c r="AA1486" s="35"/>
      <c r="AB1486" s="35"/>
    </row>
    <row r="1487" spans="2:28" x14ac:dyDescent="0.2">
      <c r="B1487" s="182"/>
      <c r="C1487" s="182"/>
      <c r="D1487" s="182"/>
      <c r="E1487" s="182"/>
      <c r="F1487" s="182"/>
      <c r="I1487" s="40"/>
      <c r="J1487" s="186"/>
      <c r="K1487" s="186"/>
      <c r="L1487" s="186"/>
      <c r="M1487" s="186"/>
      <c r="N1487" s="186"/>
      <c r="O1487" s="186"/>
      <c r="P1487" s="186"/>
      <c r="Q1487" s="182"/>
      <c r="R1487" s="182"/>
      <c r="S1487" s="182"/>
      <c r="T1487" s="186"/>
      <c r="U1487" s="186"/>
      <c r="AA1487" s="35"/>
      <c r="AB1487" s="35"/>
    </row>
    <row r="1488" spans="2:28" x14ac:dyDescent="0.2">
      <c r="B1488" s="182"/>
      <c r="C1488" s="182"/>
      <c r="D1488" s="182"/>
      <c r="E1488" s="182"/>
      <c r="F1488" s="182"/>
      <c r="I1488" s="40"/>
      <c r="J1488" s="186"/>
      <c r="K1488" s="186"/>
      <c r="L1488" s="186"/>
      <c r="M1488" s="186"/>
      <c r="N1488" s="186"/>
      <c r="O1488" s="186"/>
      <c r="P1488" s="186"/>
      <c r="Q1488" s="182"/>
      <c r="R1488" s="182"/>
      <c r="S1488" s="182"/>
      <c r="T1488" s="186"/>
      <c r="U1488" s="186"/>
      <c r="AA1488" s="35"/>
      <c r="AB1488" s="35"/>
    </row>
    <row r="1489" spans="2:28" x14ac:dyDescent="0.2">
      <c r="B1489" s="182"/>
      <c r="C1489" s="182"/>
      <c r="D1489" s="182"/>
      <c r="E1489" s="182"/>
      <c r="F1489" s="182"/>
      <c r="I1489" s="40"/>
      <c r="J1489" s="186"/>
      <c r="K1489" s="186"/>
      <c r="L1489" s="186"/>
      <c r="M1489" s="186"/>
      <c r="N1489" s="186"/>
      <c r="O1489" s="186"/>
      <c r="P1489" s="186"/>
      <c r="Q1489" s="182"/>
      <c r="R1489" s="182"/>
      <c r="S1489" s="182"/>
      <c r="T1489" s="186"/>
      <c r="U1489" s="186"/>
      <c r="AA1489" s="35"/>
      <c r="AB1489" s="35"/>
    </row>
    <row r="1490" spans="2:28" x14ac:dyDescent="0.2">
      <c r="B1490" s="182"/>
      <c r="C1490" s="182"/>
      <c r="D1490" s="182"/>
      <c r="E1490" s="182"/>
      <c r="F1490" s="182"/>
      <c r="I1490" s="40"/>
      <c r="J1490" s="186"/>
      <c r="K1490" s="186"/>
      <c r="L1490" s="186"/>
      <c r="M1490" s="186"/>
      <c r="N1490" s="186"/>
      <c r="O1490" s="186"/>
      <c r="P1490" s="186"/>
      <c r="Q1490" s="182"/>
      <c r="R1490" s="182"/>
      <c r="S1490" s="182"/>
      <c r="T1490" s="186"/>
      <c r="U1490" s="186"/>
      <c r="AA1490" s="35"/>
      <c r="AB1490" s="35"/>
    </row>
    <row r="1491" spans="2:28" x14ac:dyDescent="0.2">
      <c r="B1491" s="182"/>
      <c r="C1491" s="182"/>
      <c r="D1491" s="182"/>
      <c r="E1491" s="182"/>
      <c r="F1491" s="182"/>
      <c r="I1491" s="40"/>
      <c r="J1491" s="186"/>
      <c r="K1491" s="186"/>
      <c r="L1491" s="186"/>
      <c r="M1491" s="186"/>
      <c r="N1491" s="186"/>
      <c r="O1491" s="186"/>
      <c r="P1491" s="186"/>
      <c r="Q1491" s="182"/>
      <c r="R1491" s="182"/>
      <c r="S1491" s="182"/>
      <c r="T1491" s="186"/>
      <c r="U1491" s="186"/>
      <c r="AA1491" s="35"/>
      <c r="AB1491" s="35"/>
    </row>
    <row r="1492" spans="2:28" x14ac:dyDescent="0.2">
      <c r="B1492" s="182"/>
      <c r="C1492" s="182"/>
      <c r="D1492" s="182"/>
      <c r="E1492" s="182"/>
      <c r="F1492" s="182"/>
      <c r="I1492" s="40"/>
      <c r="J1492" s="186"/>
      <c r="K1492" s="186"/>
      <c r="L1492" s="186"/>
      <c r="M1492" s="186"/>
      <c r="N1492" s="186"/>
      <c r="O1492" s="186"/>
      <c r="P1492" s="186"/>
      <c r="Q1492" s="182"/>
      <c r="R1492" s="182"/>
      <c r="S1492" s="182"/>
      <c r="T1492" s="186"/>
      <c r="U1492" s="186"/>
      <c r="AA1492" s="35"/>
      <c r="AB1492" s="35"/>
    </row>
    <row r="1493" spans="2:28" x14ac:dyDescent="0.2">
      <c r="B1493" s="182"/>
      <c r="C1493" s="182"/>
      <c r="D1493" s="182"/>
      <c r="E1493" s="182"/>
      <c r="F1493" s="182"/>
      <c r="I1493" s="40"/>
      <c r="J1493" s="186"/>
      <c r="K1493" s="186"/>
      <c r="L1493" s="186"/>
      <c r="M1493" s="186"/>
      <c r="N1493" s="186"/>
      <c r="O1493" s="186"/>
      <c r="P1493" s="186"/>
      <c r="Q1493" s="182"/>
      <c r="R1493" s="182"/>
      <c r="S1493" s="182"/>
      <c r="T1493" s="186"/>
      <c r="U1493" s="186"/>
      <c r="AA1493" s="35"/>
      <c r="AB1493" s="35"/>
    </row>
    <row r="1494" spans="2:28" x14ac:dyDescent="0.2">
      <c r="B1494" s="182"/>
      <c r="C1494" s="182"/>
      <c r="D1494" s="182"/>
      <c r="E1494" s="182"/>
      <c r="F1494" s="182"/>
      <c r="I1494" s="40"/>
      <c r="J1494" s="186"/>
      <c r="K1494" s="186"/>
      <c r="L1494" s="186"/>
      <c r="M1494" s="186"/>
      <c r="N1494" s="186"/>
      <c r="O1494" s="186"/>
      <c r="P1494" s="186"/>
      <c r="Q1494" s="182"/>
      <c r="R1494" s="182"/>
      <c r="S1494" s="182"/>
      <c r="T1494" s="186"/>
      <c r="U1494" s="186"/>
      <c r="AA1494" s="35"/>
      <c r="AB1494" s="35"/>
    </row>
    <row r="1495" spans="2:28" x14ac:dyDescent="0.2">
      <c r="B1495" s="182"/>
      <c r="C1495" s="182"/>
      <c r="D1495" s="182"/>
      <c r="E1495" s="182"/>
      <c r="F1495" s="182"/>
      <c r="I1495" s="40"/>
      <c r="J1495" s="186"/>
      <c r="K1495" s="186"/>
      <c r="L1495" s="186"/>
      <c r="M1495" s="186"/>
      <c r="N1495" s="186"/>
      <c r="O1495" s="186"/>
      <c r="P1495" s="186"/>
      <c r="Q1495" s="182"/>
      <c r="R1495" s="182"/>
      <c r="S1495" s="182"/>
      <c r="T1495" s="186"/>
      <c r="U1495" s="186"/>
      <c r="AA1495" s="35"/>
      <c r="AB1495" s="35"/>
    </row>
    <row r="1496" spans="2:28" x14ac:dyDescent="0.2">
      <c r="B1496" s="182"/>
      <c r="C1496" s="182"/>
      <c r="D1496" s="182"/>
      <c r="E1496" s="182"/>
      <c r="F1496" s="182"/>
      <c r="I1496" s="40"/>
      <c r="J1496" s="186"/>
      <c r="K1496" s="186"/>
      <c r="L1496" s="186"/>
      <c r="M1496" s="186"/>
      <c r="N1496" s="186"/>
      <c r="O1496" s="186"/>
      <c r="P1496" s="186"/>
      <c r="Q1496" s="182"/>
      <c r="R1496" s="182"/>
      <c r="S1496" s="182"/>
      <c r="T1496" s="186"/>
      <c r="U1496" s="186"/>
      <c r="AA1496" s="35"/>
      <c r="AB1496" s="35"/>
    </row>
    <row r="1497" spans="2:28" x14ac:dyDescent="0.2">
      <c r="B1497" s="182"/>
      <c r="C1497" s="182"/>
      <c r="D1497" s="182"/>
      <c r="E1497" s="182"/>
      <c r="F1497" s="182"/>
      <c r="I1497" s="40"/>
      <c r="J1497" s="186"/>
      <c r="K1497" s="186"/>
      <c r="L1497" s="186"/>
      <c r="M1497" s="186"/>
      <c r="N1497" s="186"/>
      <c r="O1497" s="186"/>
      <c r="P1497" s="186"/>
      <c r="Q1497" s="182"/>
      <c r="R1497" s="182"/>
      <c r="S1497" s="182"/>
      <c r="T1497" s="186"/>
      <c r="U1497" s="186"/>
      <c r="AA1497" s="35"/>
      <c r="AB1497" s="35"/>
    </row>
    <row r="1498" spans="2:28" x14ac:dyDescent="0.2">
      <c r="B1498" s="182"/>
      <c r="C1498" s="182"/>
      <c r="D1498" s="182"/>
      <c r="E1498" s="182"/>
      <c r="F1498" s="182"/>
      <c r="I1498" s="40"/>
      <c r="J1498" s="186"/>
      <c r="K1498" s="186"/>
      <c r="L1498" s="186"/>
      <c r="M1498" s="186"/>
      <c r="N1498" s="186"/>
      <c r="O1498" s="186"/>
      <c r="P1498" s="186"/>
      <c r="Q1498" s="182"/>
      <c r="R1498" s="182"/>
      <c r="S1498" s="182"/>
      <c r="T1498" s="186"/>
      <c r="U1498" s="186"/>
      <c r="AA1498" s="35"/>
      <c r="AB1498" s="35"/>
    </row>
    <row r="1499" spans="2:28" x14ac:dyDescent="0.2">
      <c r="B1499" s="182"/>
      <c r="C1499" s="182"/>
      <c r="D1499" s="182"/>
      <c r="E1499" s="182"/>
      <c r="F1499" s="182"/>
      <c r="I1499" s="40"/>
      <c r="J1499" s="186"/>
      <c r="K1499" s="186"/>
      <c r="L1499" s="186"/>
      <c r="M1499" s="186"/>
      <c r="N1499" s="186"/>
      <c r="O1499" s="186"/>
      <c r="P1499" s="186"/>
      <c r="Q1499" s="182"/>
      <c r="R1499" s="182"/>
      <c r="S1499" s="182"/>
      <c r="T1499" s="186"/>
      <c r="U1499" s="186"/>
      <c r="AA1499" s="35"/>
      <c r="AB1499" s="35"/>
    </row>
    <row r="1500" spans="2:28" x14ac:dyDescent="0.2">
      <c r="B1500" s="182"/>
      <c r="C1500" s="182"/>
      <c r="D1500" s="182"/>
      <c r="E1500" s="182"/>
      <c r="F1500" s="182"/>
      <c r="I1500" s="40"/>
      <c r="J1500" s="186"/>
      <c r="K1500" s="186"/>
      <c r="L1500" s="186"/>
      <c r="M1500" s="186"/>
      <c r="N1500" s="186"/>
      <c r="O1500" s="186"/>
      <c r="P1500" s="186"/>
      <c r="Q1500" s="182"/>
      <c r="R1500" s="182"/>
      <c r="S1500" s="182"/>
      <c r="T1500" s="186"/>
      <c r="U1500" s="186"/>
      <c r="AA1500" s="35"/>
      <c r="AB1500" s="35"/>
    </row>
    <row r="1501" spans="2:28" x14ac:dyDescent="0.2">
      <c r="B1501" s="182"/>
      <c r="C1501" s="182"/>
      <c r="D1501" s="182"/>
      <c r="E1501" s="182"/>
      <c r="F1501" s="182"/>
      <c r="I1501" s="40"/>
      <c r="J1501" s="186"/>
      <c r="K1501" s="186"/>
      <c r="L1501" s="186"/>
      <c r="M1501" s="186"/>
      <c r="N1501" s="186"/>
      <c r="O1501" s="186"/>
      <c r="P1501" s="186"/>
      <c r="Q1501" s="182"/>
      <c r="R1501" s="182"/>
      <c r="S1501" s="182"/>
      <c r="T1501" s="186"/>
      <c r="U1501" s="186"/>
      <c r="AA1501" s="35"/>
      <c r="AB1501" s="35"/>
    </row>
    <row r="1502" spans="2:28" x14ac:dyDescent="0.2">
      <c r="B1502" s="182"/>
      <c r="C1502" s="182"/>
      <c r="D1502" s="182"/>
      <c r="E1502" s="182"/>
      <c r="F1502" s="182"/>
      <c r="I1502" s="40"/>
      <c r="J1502" s="186"/>
      <c r="K1502" s="186"/>
      <c r="L1502" s="186"/>
      <c r="M1502" s="186"/>
      <c r="N1502" s="186"/>
      <c r="O1502" s="186"/>
      <c r="P1502" s="186"/>
      <c r="Q1502" s="182"/>
      <c r="R1502" s="182"/>
      <c r="S1502" s="182"/>
      <c r="T1502" s="186"/>
      <c r="U1502" s="186"/>
      <c r="AA1502" s="35"/>
      <c r="AB1502" s="35"/>
    </row>
    <row r="1503" spans="2:28" x14ac:dyDescent="0.2">
      <c r="B1503" s="182"/>
      <c r="C1503" s="182"/>
      <c r="D1503" s="182"/>
      <c r="E1503" s="182"/>
      <c r="F1503" s="182"/>
      <c r="I1503" s="40"/>
      <c r="J1503" s="186"/>
      <c r="K1503" s="186"/>
      <c r="L1503" s="186"/>
      <c r="M1503" s="186"/>
      <c r="N1503" s="186"/>
      <c r="O1503" s="186"/>
      <c r="P1503" s="186"/>
      <c r="Q1503" s="182"/>
      <c r="R1503" s="182"/>
      <c r="S1503" s="182"/>
      <c r="T1503" s="186"/>
      <c r="U1503" s="186"/>
      <c r="AA1503" s="35"/>
      <c r="AB1503" s="35"/>
    </row>
    <row r="1504" spans="2:28" x14ac:dyDescent="0.2">
      <c r="B1504" s="182"/>
      <c r="C1504" s="182"/>
      <c r="D1504" s="182"/>
      <c r="E1504" s="182"/>
      <c r="F1504" s="182"/>
      <c r="I1504" s="40"/>
      <c r="J1504" s="186"/>
      <c r="K1504" s="186"/>
      <c r="L1504" s="186"/>
      <c r="M1504" s="186"/>
      <c r="N1504" s="186"/>
      <c r="O1504" s="186"/>
      <c r="P1504" s="186"/>
      <c r="Q1504" s="182"/>
      <c r="R1504" s="182"/>
      <c r="S1504" s="182"/>
      <c r="T1504" s="186"/>
      <c r="U1504" s="186"/>
      <c r="AA1504" s="35"/>
      <c r="AB1504" s="35"/>
    </row>
    <row r="1505" spans="2:28" x14ac:dyDescent="0.2">
      <c r="B1505" s="182"/>
      <c r="C1505" s="182"/>
      <c r="D1505" s="182"/>
      <c r="E1505" s="182"/>
      <c r="F1505" s="182"/>
      <c r="I1505" s="40"/>
      <c r="J1505" s="186"/>
      <c r="K1505" s="186"/>
      <c r="L1505" s="186"/>
      <c r="M1505" s="186"/>
      <c r="N1505" s="186"/>
      <c r="O1505" s="186"/>
      <c r="P1505" s="186"/>
      <c r="Q1505" s="182"/>
      <c r="R1505" s="182"/>
      <c r="S1505" s="182"/>
      <c r="T1505" s="186"/>
      <c r="U1505" s="186"/>
      <c r="AA1505" s="35"/>
      <c r="AB1505" s="35"/>
    </row>
    <row r="1506" spans="2:28" x14ac:dyDescent="0.2">
      <c r="B1506" s="182"/>
      <c r="C1506" s="182"/>
      <c r="D1506" s="182"/>
      <c r="E1506" s="182"/>
      <c r="F1506" s="182"/>
      <c r="I1506" s="40"/>
      <c r="J1506" s="186"/>
      <c r="K1506" s="186"/>
      <c r="L1506" s="186"/>
      <c r="M1506" s="186"/>
      <c r="N1506" s="186"/>
      <c r="O1506" s="186"/>
      <c r="P1506" s="186"/>
      <c r="Q1506" s="182"/>
      <c r="R1506" s="182"/>
      <c r="S1506" s="182"/>
      <c r="T1506" s="186"/>
      <c r="U1506" s="186"/>
      <c r="AA1506" s="35"/>
      <c r="AB1506" s="35"/>
    </row>
    <row r="1507" spans="2:28" x14ac:dyDescent="0.2">
      <c r="B1507" s="182"/>
      <c r="C1507" s="182"/>
      <c r="D1507" s="182"/>
      <c r="E1507" s="182"/>
      <c r="F1507" s="182"/>
      <c r="I1507" s="40"/>
      <c r="J1507" s="186"/>
      <c r="K1507" s="186"/>
      <c r="L1507" s="186"/>
      <c r="M1507" s="186"/>
      <c r="N1507" s="186"/>
      <c r="O1507" s="186"/>
      <c r="P1507" s="186"/>
      <c r="Q1507" s="182"/>
      <c r="R1507" s="182"/>
      <c r="S1507" s="182"/>
      <c r="T1507" s="186"/>
      <c r="U1507" s="186"/>
      <c r="AA1507" s="35"/>
      <c r="AB1507" s="35"/>
    </row>
    <row r="1508" spans="2:28" x14ac:dyDescent="0.2">
      <c r="B1508" s="182"/>
      <c r="C1508" s="182"/>
      <c r="D1508" s="182"/>
      <c r="E1508" s="182"/>
      <c r="F1508" s="182"/>
      <c r="I1508" s="40"/>
      <c r="J1508" s="186"/>
      <c r="K1508" s="186"/>
      <c r="L1508" s="186"/>
      <c r="M1508" s="186"/>
      <c r="N1508" s="186"/>
      <c r="O1508" s="186"/>
      <c r="P1508" s="186"/>
      <c r="Q1508" s="182"/>
      <c r="R1508" s="182"/>
      <c r="S1508" s="182"/>
      <c r="T1508" s="186"/>
      <c r="U1508" s="186"/>
      <c r="AA1508" s="35"/>
      <c r="AB1508" s="35"/>
    </row>
    <row r="1509" spans="2:28" x14ac:dyDescent="0.2">
      <c r="B1509" s="182"/>
      <c r="C1509" s="182"/>
      <c r="D1509" s="182"/>
      <c r="E1509" s="182"/>
      <c r="F1509" s="182"/>
      <c r="I1509" s="40"/>
      <c r="J1509" s="186"/>
      <c r="K1509" s="186"/>
      <c r="L1509" s="186"/>
      <c r="M1509" s="186"/>
      <c r="N1509" s="186"/>
      <c r="O1509" s="186"/>
      <c r="P1509" s="186"/>
      <c r="Q1509" s="182"/>
      <c r="R1509" s="182"/>
      <c r="S1509" s="182"/>
      <c r="T1509" s="186"/>
      <c r="U1509" s="186"/>
      <c r="AA1509" s="35"/>
      <c r="AB1509" s="35"/>
    </row>
    <row r="1510" spans="2:28" x14ac:dyDescent="0.2">
      <c r="B1510" s="182"/>
      <c r="C1510" s="182"/>
      <c r="D1510" s="182"/>
      <c r="E1510" s="182"/>
      <c r="F1510" s="182"/>
      <c r="I1510" s="40"/>
      <c r="J1510" s="186"/>
      <c r="K1510" s="186"/>
      <c r="L1510" s="186"/>
      <c r="M1510" s="186"/>
      <c r="N1510" s="186"/>
      <c r="O1510" s="186"/>
      <c r="P1510" s="186"/>
      <c r="Q1510" s="182"/>
      <c r="R1510" s="182"/>
      <c r="S1510" s="182"/>
      <c r="T1510" s="186"/>
      <c r="U1510" s="186"/>
      <c r="AA1510" s="35"/>
      <c r="AB1510" s="35"/>
    </row>
    <row r="1511" spans="2:28" x14ac:dyDescent="0.2">
      <c r="B1511" s="182"/>
      <c r="C1511" s="182"/>
      <c r="D1511" s="182"/>
      <c r="E1511" s="182"/>
      <c r="F1511" s="182"/>
      <c r="I1511" s="40"/>
      <c r="J1511" s="186"/>
      <c r="K1511" s="186"/>
      <c r="L1511" s="186"/>
      <c r="M1511" s="186"/>
      <c r="N1511" s="186"/>
      <c r="O1511" s="186"/>
      <c r="P1511" s="186"/>
      <c r="Q1511" s="182"/>
      <c r="R1511" s="182"/>
      <c r="S1511" s="182"/>
      <c r="T1511" s="186"/>
      <c r="U1511" s="186"/>
      <c r="AA1511" s="35"/>
      <c r="AB1511" s="35"/>
    </row>
    <row r="1512" spans="2:28" x14ac:dyDescent="0.2">
      <c r="B1512" s="182"/>
      <c r="C1512" s="182"/>
      <c r="D1512" s="182"/>
      <c r="E1512" s="182"/>
      <c r="F1512" s="182"/>
      <c r="I1512" s="40"/>
      <c r="J1512" s="186"/>
      <c r="K1512" s="186"/>
      <c r="L1512" s="186"/>
      <c r="M1512" s="186"/>
      <c r="N1512" s="186"/>
      <c r="O1512" s="186"/>
      <c r="P1512" s="186"/>
      <c r="Q1512" s="182"/>
      <c r="R1512" s="182"/>
      <c r="S1512" s="182"/>
      <c r="T1512" s="186"/>
      <c r="U1512" s="186"/>
      <c r="AA1512" s="35"/>
      <c r="AB1512" s="35"/>
    </row>
    <row r="1513" spans="2:28" x14ac:dyDescent="0.2">
      <c r="B1513" s="182"/>
      <c r="C1513" s="182"/>
      <c r="D1513" s="182"/>
      <c r="E1513" s="182"/>
      <c r="F1513" s="182"/>
      <c r="I1513" s="40"/>
      <c r="J1513" s="186"/>
      <c r="K1513" s="186"/>
      <c r="L1513" s="186"/>
      <c r="M1513" s="186"/>
      <c r="N1513" s="186"/>
      <c r="O1513" s="186"/>
      <c r="P1513" s="186"/>
      <c r="Q1513" s="182"/>
      <c r="R1513" s="182"/>
      <c r="S1513" s="182"/>
      <c r="T1513" s="186"/>
      <c r="U1513" s="186"/>
      <c r="AA1513" s="35"/>
      <c r="AB1513" s="35"/>
    </row>
    <row r="1514" spans="2:28" x14ac:dyDescent="0.2">
      <c r="B1514" s="182"/>
      <c r="C1514" s="182"/>
      <c r="D1514" s="182"/>
      <c r="E1514" s="182"/>
      <c r="F1514" s="182"/>
      <c r="I1514" s="40"/>
      <c r="J1514" s="186"/>
      <c r="K1514" s="186"/>
      <c r="L1514" s="186"/>
      <c r="M1514" s="186"/>
      <c r="N1514" s="186"/>
      <c r="O1514" s="186"/>
      <c r="P1514" s="186"/>
      <c r="Q1514" s="182"/>
      <c r="R1514" s="182"/>
      <c r="S1514" s="182"/>
      <c r="T1514" s="186"/>
      <c r="U1514" s="186"/>
      <c r="AA1514" s="35"/>
      <c r="AB1514" s="35"/>
    </row>
    <row r="1515" spans="2:28" x14ac:dyDescent="0.2">
      <c r="B1515" s="182"/>
      <c r="C1515" s="182"/>
      <c r="D1515" s="182"/>
      <c r="E1515" s="182"/>
      <c r="F1515" s="182"/>
      <c r="I1515" s="40"/>
      <c r="J1515" s="186"/>
      <c r="K1515" s="186"/>
      <c r="L1515" s="186"/>
      <c r="M1515" s="186"/>
      <c r="N1515" s="186"/>
      <c r="O1515" s="186"/>
      <c r="P1515" s="186"/>
      <c r="Q1515" s="182"/>
      <c r="R1515" s="182"/>
      <c r="S1515" s="182"/>
      <c r="T1515" s="186"/>
      <c r="U1515" s="186"/>
      <c r="AA1515" s="35"/>
      <c r="AB1515" s="35"/>
    </row>
    <row r="1516" spans="2:28" x14ac:dyDescent="0.2">
      <c r="B1516" s="182"/>
      <c r="C1516" s="182"/>
      <c r="D1516" s="182"/>
      <c r="E1516" s="182"/>
      <c r="F1516" s="182"/>
      <c r="I1516" s="40"/>
      <c r="J1516" s="186"/>
      <c r="K1516" s="186"/>
      <c r="L1516" s="186"/>
      <c r="M1516" s="186"/>
      <c r="N1516" s="186"/>
      <c r="O1516" s="186"/>
      <c r="P1516" s="186"/>
      <c r="Q1516" s="182"/>
      <c r="R1516" s="182"/>
      <c r="S1516" s="182"/>
      <c r="T1516" s="186"/>
      <c r="U1516" s="186"/>
      <c r="AA1516" s="35"/>
      <c r="AB1516" s="35"/>
    </row>
    <row r="1517" spans="2:28" x14ac:dyDescent="0.2">
      <c r="B1517" s="182"/>
      <c r="C1517" s="182"/>
      <c r="D1517" s="182"/>
      <c r="E1517" s="182"/>
      <c r="F1517" s="182"/>
      <c r="I1517" s="40"/>
      <c r="J1517" s="186"/>
      <c r="K1517" s="186"/>
      <c r="L1517" s="186"/>
      <c r="M1517" s="186"/>
      <c r="N1517" s="186"/>
      <c r="O1517" s="186"/>
      <c r="P1517" s="186"/>
      <c r="Q1517" s="182"/>
      <c r="R1517" s="182"/>
      <c r="S1517" s="182"/>
      <c r="T1517" s="186"/>
      <c r="U1517" s="186"/>
      <c r="AA1517" s="35"/>
      <c r="AB1517" s="35"/>
    </row>
    <row r="1518" spans="2:28" x14ac:dyDescent="0.2">
      <c r="B1518" s="182"/>
      <c r="C1518" s="182"/>
      <c r="D1518" s="182"/>
      <c r="E1518" s="182"/>
      <c r="F1518" s="182"/>
      <c r="I1518" s="40"/>
      <c r="J1518" s="186"/>
      <c r="K1518" s="186"/>
      <c r="L1518" s="186"/>
      <c r="M1518" s="186"/>
      <c r="N1518" s="186"/>
      <c r="O1518" s="186"/>
      <c r="P1518" s="186"/>
      <c r="Q1518" s="182"/>
      <c r="R1518" s="182"/>
      <c r="S1518" s="182"/>
      <c r="T1518" s="186"/>
      <c r="U1518" s="186"/>
      <c r="AA1518" s="35"/>
      <c r="AB1518" s="35"/>
    </row>
    <row r="1519" spans="2:28" x14ac:dyDescent="0.2">
      <c r="B1519" s="182"/>
      <c r="C1519" s="182"/>
      <c r="D1519" s="182"/>
      <c r="E1519" s="182"/>
      <c r="F1519" s="182"/>
      <c r="I1519" s="40"/>
      <c r="J1519" s="186"/>
      <c r="K1519" s="186"/>
      <c r="L1519" s="186"/>
      <c r="M1519" s="186"/>
      <c r="N1519" s="186"/>
      <c r="O1519" s="186"/>
      <c r="P1519" s="186"/>
      <c r="Q1519" s="182"/>
      <c r="R1519" s="182"/>
      <c r="S1519" s="182"/>
      <c r="T1519" s="186"/>
      <c r="U1519" s="186"/>
      <c r="AA1519" s="35"/>
      <c r="AB1519" s="35"/>
    </row>
    <row r="1520" spans="2:28" x14ac:dyDescent="0.2">
      <c r="B1520" s="182"/>
      <c r="C1520" s="182"/>
      <c r="D1520" s="182"/>
      <c r="E1520" s="182"/>
      <c r="F1520" s="182"/>
      <c r="I1520" s="40"/>
      <c r="J1520" s="186"/>
      <c r="K1520" s="186"/>
      <c r="L1520" s="186"/>
      <c r="M1520" s="186"/>
      <c r="N1520" s="186"/>
      <c r="O1520" s="186"/>
      <c r="P1520" s="186"/>
      <c r="Q1520" s="182"/>
      <c r="R1520" s="182"/>
      <c r="S1520" s="182"/>
      <c r="T1520" s="186"/>
      <c r="U1520" s="186"/>
      <c r="AA1520" s="35"/>
      <c r="AB1520" s="35"/>
    </row>
    <row r="1521" spans="2:28" x14ac:dyDescent="0.2">
      <c r="B1521" s="182"/>
      <c r="C1521" s="182"/>
      <c r="D1521" s="182"/>
      <c r="E1521" s="182"/>
      <c r="F1521" s="182"/>
      <c r="I1521" s="40"/>
      <c r="J1521" s="186"/>
      <c r="K1521" s="186"/>
      <c r="L1521" s="186"/>
      <c r="M1521" s="186"/>
      <c r="N1521" s="186"/>
      <c r="O1521" s="186"/>
      <c r="P1521" s="186"/>
      <c r="Q1521" s="182"/>
      <c r="R1521" s="182"/>
      <c r="S1521" s="182"/>
      <c r="T1521" s="186"/>
      <c r="U1521" s="186"/>
      <c r="AA1521" s="35"/>
      <c r="AB1521" s="35"/>
    </row>
    <row r="1522" spans="2:28" x14ac:dyDescent="0.2">
      <c r="B1522" s="182"/>
      <c r="C1522" s="182"/>
      <c r="D1522" s="182"/>
      <c r="E1522" s="182"/>
      <c r="F1522" s="182"/>
      <c r="I1522" s="40"/>
      <c r="J1522" s="186"/>
      <c r="K1522" s="186"/>
      <c r="L1522" s="186"/>
      <c r="M1522" s="186"/>
      <c r="N1522" s="186"/>
      <c r="O1522" s="186"/>
      <c r="P1522" s="186"/>
      <c r="Q1522" s="182"/>
      <c r="R1522" s="182"/>
      <c r="S1522" s="182"/>
      <c r="T1522" s="186"/>
      <c r="U1522" s="186"/>
      <c r="AA1522" s="35"/>
      <c r="AB1522" s="35"/>
    </row>
    <row r="1523" spans="2:28" x14ac:dyDescent="0.2">
      <c r="B1523" s="182"/>
      <c r="C1523" s="182"/>
      <c r="D1523" s="182"/>
      <c r="E1523" s="182"/>
      <c r="F1523" s="182"/>
      <c r="I1523" s="40"/>
      <c r="J1523" s="186"/>
      <c r="K1523" s="186"/>
      <c r="L1523" s="186"/>
      <c r="M1523" s="186"/>
      <c r="N1523" s="186"/>
      <c r="O1523" s="186"/>
      <c r="P1523" s="186"/>
      <c r="Q1523" s="182"/>
      <c r="R1523" s="182"/>
      <c r="S1523" s="182"/>
      <c r="T1523" s="186"/>
      <c r="U1523" s="186"/>
      <c r="AA1523" s="35"/>
      <c r="AB1523" s="35"/>
    </row>
    <row r="1524" spans="2:28" x14ac:dyDescent="0.2">
      <c r="B1524" s="182"/>
      <c r="C1524" s="182"/>
      <c r="D1524" s="182"/>
      <c r="E1524" s="182"/>
      <c r="F1524" s="182"/>
      <c r="I1524" s="40"/>
      <c r="J1524" s="186"/>
      <c r="K1524" s="186"/>
      <c r="L1524" s="186"/>
      <c r="M1524" s="186"/>
      <c r="N1524" s="186"/>
      <c r="O1524" s="186"/>
      <c r="P1524" s="186"/>
      <c r="Q1524" s="182"/>
      <c r="R1524" s="182"/>
      <c r="S1524" s="182"/>
      <c r="T1524" s="186"/>
      <c r="U1524" s="186"/>
      <c r="AA1524" s="35"/>
      <c r="AB1524" s="35"/>
    </row>
    <row r="1525" spans="2:28" x14ac:dyDescent="0.2">
      <c r="B1525" s="182"/>
      <c r="C1525" s="182"/>
      <c r="D1525" s="182"/>
      <c r="E1525" s="182"/>
      <c r="F1525" s="182"/>
      <c r="I1525" s="40"/>
      <c r="J1525" s="186"/>
      <c r="K1525" s="186"/>
      <c r="L1525" s="186"/>
      <c r="M1525" s="186"/>
      <c r="N1525" s="186"/>
      <c r="O1525" s="186"/>
      <c r="P1525" s="186"/>
      <c r="Q1525" s="182"/>
      <c r="R1525" s="182"/>
      <c r="S1525" s="182"/>
      <c r="T1525" s="186"/>
      <c r="U1525" s="186"/>
      <c r="AA1525" s="35"/>
      <c r="AB1525" s="35"/>
    </row>
    <row r="1526" spans="2:28" x14ac:dyDescent="0.2">
      <c r="B1526" s="182"/>
      <c r="C1526" s="182"/>
      <c r="D1526" s="182"/>
      <c r="E1526" s="182"/>
      <c r="F1526" s="182"/>
      <c r="I1526" s="40"/>
      <c r="J1526" s="186"/>
      <c r="K1526" s="186"/>
      <c r="L1526" s="186"/>
      <c r="M1526" s="186"/>
      <c r="N1526" s="186"/>
      <c r="O1526" s="186"/>
      <c r="P1526" s="186"/>
      <c r="Q1526" s="182"/>
      <c r="R1526" s="182"/>
      <c r="S1526" s="182"/>
      <c r="T1526" s="186"/>
      <c r="U1526" s="186"/>
      <c r="AA1526" s="35"/>
      <c r="AB1526" s="35"/>
    </row>
    <row r="1527" spans="2:28" x14ac:dyDescent="0.2">
      <c r="B1527" s="182"/>
      <c r="C1527" s="182"/>
      <c r="D1527" s="182"/>
      <c r="E1527" s="182"/>
      <c r="F1527" s="182"/>
      <c r="I1527" s="40"/>
      <c r="J1527" s="186"/>
      <c r="K1527" s="186"/>
      <c r="L1527" s="186"/>
      <c r="M1527" s="186"/>
      <c r="N1527" s="186"/>
      <c r="O1527" s="186"/>
      <c r="P1527" s="186"/>
      <c r="Q1527" s="182"/>
      <c r="R1527" s="182"/>
      <c r="S1527" s="182"/>
      <c r="T1527" s="186"/>
      <c r="U1527" s="186"/>
      <c r="AA1527" s="35"/>
      <c r="AB1527" s="35"/>
    </row>
    <row r="1528" spans="2:28" x14ac:dyDescent="0.2">
      <c r="B1528" s="182"/>
      <c r="C1528" s="182"/>
      <c r="D1528" s="182"/>
      <c r="E1528" s="182"/>
      <c r="F1528" s="182"/>
      <c r="I1528" s="40"/>
      <c r="J1528" s="186"/>
      <c r="K1528" s="186"/>
      <c r="L1528" s="186"/>
      <c r="M1528" s="186"/>
      <c r="N1528" s="186"/>
      <c r="O1528" s="186"/>
      <c r="P1528" s="186"/>
      <c r="Q1528" s="182"/>
      <c r="R1528" s="182"/>
      <c r="S1528" s="182"/>
      <c r="T1528" s="186"/>
      <c r="U1528" s="186"/>
      <c r="AA1528" s="35"/>
      <c r="AB1528" s="35"/>
    </row>
    <row r="1529" spans="2:28" x14ac:dyDescent="0.2">
      <c r="B1529" s="182"/>
      <c r="C1529" s="182"/>
      <c r="D1529" s="182"/>
      <c r="E1529" s="182"/>
      <c r="F1529" s="182"/>
      <c r="I1529" s="40"/>
      <c r="J1529" s="186"/>
      <c r="K1529" s="186"/>
      <c r="L1529" s="186"/>
      <c r="M1529" s="186"/>
      <c r="N1529" s="186"/>
      <c r="O1529" s="186"/>
      <c r="P1529" s="186"/>
      <c r="Q1529" s="182"/>
      <c r="R1529" s="182"/>
      <c r="S1529" s="182"/>
      <c r="T1529" s="186"/>
      <c r="U1529" s="186"/>
      <c r="AA1529" s="35"/>
      <c r="AB1529" s="35"/>
    </row>
    <row r="1530" spans="2:28" x14ac:dyDescent="0.2">
      <c r="B1530" s="182"/>
      <c r="C1530" s="182"/>
      <c r="D1530" s="182"/>
      <c r="E1530" s="182"/>
      <c r="F1530" s="182"/>
      <c r="I1530" s="40"/>
      <c r="J1530" s="186"/>
      <c r="K1530" s="186"/>
      <c r="L1530" s="186"/>
      <c r="M1530" s="186"/>
      <c r="N1530" s="186"/>
      <c r="O1530" s="186"/>
      <c r="P1530" s="186"/>
      <c r="Q1530" s="182"/>
      <c r="R1530" s="182"/>
      <c r="S1530" s="182"/>
      <c r="T1530" s="186"/>
      <c r="U1530" s="186"/>
      <c r="AA1530" s="35"/>
      <c r="AB1530" s="35"/>
    </row>
    <row r="1531" spans="2:28" x14ac:dyDescent="0.2">
      <c r="B1531" s="182"/>
      <c r="C1531" s="182"/>
      <c r="D1531" s="182"/>
      <c r="E1531" s="182"/>
      <c r="F1531" s="182"/>
      <c r="I1531" s="40"/>
      <c r="J1531" s="186"/>
      <c r="K1531" s="186"/>
      <c r="L1531" s="186"/>
      <c r="M1531" s="186"/>
      <c r="N1531" s="186"/>
      <c r="O1531" s="186"/>
      <c r="P1531" s="186"/>
      <c r="Q1531" s="182"/>
      <c r="R1531" s="182"/>
      <c r="S1531" s="182"/>
      <c r="T1531" s="186"/>
      <c r="U1531" s="186"/>
      <c r="AA1531" s="35"/>
      <c r="AB1531" s="35"/>
    </row>
    <row r="1532" spans="2:28" x14ac:dyDescent="0.2">
      <c r="B1532" s="182"/>
      <c r="C1532" s="182"/>
      <c r="D1532" s="182"/>
      <c r="E1532" s="182"/>
      <c r="F1532" s="182"/>
      <c r="I1532" s="40"/>
      <c r="J1532" s="186"/>
      <c r="K1532" s="186"/>
      <c r="L1532" s="186"/>
      <c r="M1532" s="186"/>
      <c r="N1532" s="186"/>
      <c r="O1532" s="186"/>
      <c r="P1532" s="186"/>
      <c r="Q1532" s="182"/>
      <c r="R1532" s="182"/>
      <c r="S1532" s="182"/>
      <c r="T1532" s="186"/>
      <c r="U1532" s="186"/>
      <c r="AA1532" s="35"/>
      <c r="AB1532" s="35"/>
    </row>
    <row r="1533" spans="2:28" x14ac:dyDescent="0.2">
      <c r="B1533" s="182"/>
      <c r="C1533" s="182"/>
      <c r="D1533" s="182"/>
      <c r="E1533" s="182"/>
      <c r="F1533" s="182"/>
      <c r="I1533" s="40"/>
      <c r="J1533" s="186"/>
      <c r="K1533" s="186"/>
      <c r="L1533" s="186"/>
      <c r="M1533" s="186"/>
      <c r="N1533" s="186"/>
      <c r="O1533" s="186"/>
      <c r="P1533" s="186"/>
      <c r="Q1533" s="182"/>
      <c r="R1533" s="182"/>
      <c r="S1533" s="182"/>
      <c r="T1533" s="186"/>
      <c r="U1533" s="186"/>
      <c r="AA1533" s="35"/>
      <c r="AB1533" s="35"/>
    </row>
    <row r="1534" spans="2:28" x14ac:dyDescent="0.2">
      <c r="B1534" s="182"/>
      <c r="C1534" s="182"/>
      <c r="D1534" s="182"/>
      <c r="E1534" s="182"/>
      <c r="F1534" s="182"/>
      <c r="I1534" s="40"/>
      <c r="J1534" s="186"/>
      <c r="K1534" s="186"/>
      <c r="L1534" s="186"/>
      <c r="M1534" s="186"/>
      <c r="N1534" s="186"/>
      <c r="O1534" s="186"/>
      <c r="P1534" s="186"/>
      <c r="Q1534" s="182"/>
      <c r="R1534" s="182"/>
      <c r="S1534" s="182"/>
      <c r="T1534" s="186"/>
      <c r="U1534" s="186"/>
      <c r="AA1534" s="35"/>
      <c r="AB1534" s="35"/>
    </row>
    <row r="1535" spans="2:28" x14ac:dyDescent="0.2">
      <c r="B1535" s="182"/>
      <c r="C1535" s="182"/>
      <c r="D1535" s="182"/>
      <c r="E1535" s="182"/>
      <c r="F1535" s="182"/>
      <c r="I1535" s="40"/>
      <c r="J1535" s="186"/>
      <c r="K1535" s="186"/>
      <c r="L1535" s="186"/>
      <c r="M1535" s="186"/>
      <c r="N1535" s="186"/>
      <c r="O1535" s="186"/>
      <c r="P1535" s="186"/>
      <c r="Q1535" s="182"/>
      <c r="R1535" s="182"/>
      <c r="S1535" s="182"/>
      <c r="T1535" s="186"/>
      <c r="U1535" s="186"/>
      <c r="AA1535" s="35"/>
      <c r="AB1535" s="35"/>
    </row>
    <row r="1536" spans="2:28" x14ac:dyDescent="0.2">
      <c r="B1536" s="182"/>
      <c r="C1536" s="182"/>
      <c r="D1536" s="182"/>
      <c r="E1536" s="182"/>
      <c r="F1536" s="182"/>
      <c r="I1536" s="40"/>
      <c r="J1536" s="186"/>
      <c r="K1536" s="186"/>
      <c r="L1536" s="186"/>
      <c r="M1536" s="186"/>
      <c r="N1536" s="186"/>
      <c r="O1536" s="186"/>
      <c r="P1536" s="186"/>
      <c r="Q1536" s="182"/>
      <c r="R1536" s="182"/>
      <c r="S1536" s="182"/>
      <c r="T1536" s="186"/>
      <c r="U1536" s="186"/>
      <c r="AA1536" s="35"/>
      <c r="AB1536" s="35"/>
    </row>
    <row r="1537" spans="2:28" x14ac:dyDescent="0.2">
      <c r="B1537" s="182"/>
      <c r="C1537" s="182"/>
      <c r="D1537" s="182"/>
      <c r="E1537" s="182"/>
      <c r="F1537" s="182"/>
      <c r="I1537" s="40"/>
      <c r="J1537" s="186"/>
      <c r="K1537" s="186"/>
      <c r="L1537" s="186"/>
      <c r="M1537" s="186"/>
      <c r="N1537" s="186"/>
      <c r="O1537" s="186"/>
      <c r="P1537" s="186"/>
      <c r="Q1537" s="182"/>
      <c r="R1537" s="182"/>
      <c r="S1537" s="182"/>
      <c r="T1537" s="186"/>
      <c r="U1537" s="186"/>
      <c r="AA1537" s="35"/>
      <c r="AB1537" s="35"/>
    </row>
    <row r="1538" spans="2:28" x14ac:dyDescent="0.2">
      <c r="B1538" s="182"/>
      <c r="C1538" s="182"/>
      <c r="D1538" s="182"/>
      <c r="E1538" s="182"/>
      <c r="F1538" s="182"/>
      <c r="I1538" s="40"/>
      <c r="J1538" s="186"/>
      <c r="K1538" s="186"/>
      <c r="L1538" s="186"/>
      <c r="M1538" s="186"/>
      <c r="N1538" s="186"/>
      <c r="O1538" s="186"/>
      <c r="P1538" s="186"/>
      <c r="Q1538" s="182"/>
      <c r="R1538" s="182"/>
      <c r="S1538" s="182"/>
      <c r="T1538" s="186"/>
      <c r="U1538" s="186"/>
      <c r="AA1538" s="35"/>
      <c r="AB1538" s="35"/>
    </row>
    <row r="1539" spans="2:28" x14ac:dyDescent="0.2">
      <c r="B1539" s="182"/>
      <c r="C1539" s="182"/>
      <c r="D1539" s="182"/>
      <c r="E1539" s="182"/>
      <c r="F1539" s="182"/>
      <c r="I1539" s="40"/>
      <c r="J1539" s="186"/>
      <c r="K1539" s="186"/>
      <c r="L1539" s="186"/>
      <c r="M1539" s="186"/>
      <c r="N1539" s="186"/>
      <c r="O1539" s="186"/>
      <c r="P1539" s="186"/>
      <c r="Q1539" s="182"/>
      <c r="R1539" s="182"/>
      <c r="S1539" s="182"/>
      <c r="T1539" s="186"/>
      <c r="U1539" s="186"/>
      <c r="AA1539" s="35"/>
      <c r="AB1539" s="35"/>
    </row>
    <row r="1540" spans="2:28" x14ac:dyDescent="0.2">
      <c r="B1540" s="182"/>
      <c r="C1540" s="182"/>
      <c r="D1540" s="182"/>
      <c r="E1540" s="182"/>
      <c r="F1540" s="182"/>
      <c r="I1540" s="40"/>
      <c r="J1540" s="186"/>
      <c r="K1540" s="186"/>
      <c r="L1540" s="186"/>
      <c r="M1540" s="186"/>
      <c r="N1540" s="186"/>
      <c r="O1540" s="186"/>
      <c r="P1540" s="186"/>
      <c r="Q1540" s="182"/>
      <c r="R1540" s="182"/>
      <c r="S1540" s="182"/>
      <c r="T1540" s="186"/>
      <c r="U1540" s="186"/>
      <c r="AA1540" s="35"/>
      <c r="AB1540" s="35"/>
    </row>
    <row r="1541" spans="2:28" x14ac:dyDescent="0.2">
      <c r="B1541" s="182"/>
      <c r="C1541" s="182"/>
      <c r="D1541" s="182"/>
      <c r="E1541" s="182"/>
      <c r="F1541" s="182"/>
      <c r="I1541" s="40"/>
      <c r="J1541" s="186"/>
      <c r="K1541" s="186"/>
      <c r="L1541" s="186"/>
      <c r="M1541" s="186"/>
      <c r="N1541" s="186"/>
      <c r="O1541" s="186"/>
      <c r="P1541" s="186"/>
      <c r="Q1541" s="182"/>
      <c r="R1541" s="182"/>
      <c r="S1541" s="182"/>
      <c r="T1541" s="186"/>
      <c r="U1541" s="186"/>
      <c r="AA1541" s="35"/>
      <c r="AB1541" s="35"/>
    </row>
    <row r="1542" spans="2:28" x14ac:dyDescent="0.2">
      <c r="B1542" s="182"/>
      <c r="C1542" s="182"/>
      <c r="D1542" s="182"/>
      <c r="E1542" s="182"/>
      <c r="F1542" s="182"/>
      <c r="I1542" s="40"/>
      <c r="J1542" s="186"/>
      <c r="K1542" s="186"/>
      <c r="L1542" s="186"/>
      <c r="M1542" s="186"/>
      <c r="N1542" s="186"/>
      <c r="O1542" s="186"/>
      <c r="P1542" s="186"/>
      <c r="Q1542" s="182"/>
      <c r="R1542" s="182"/>
      <c r="S1542" s="182"/>
      <c r="T1542" s="186"/>
      <c r="U1542" s="186"/>
      <c r="AA1542" s="35"/>
      <c r="AB1542" s="35"/>
    </row>
    <row r="1543" spans="2:28" x14ac:dyDescent="0.2">
      <c r="B1543" s="182"/>
      <c r="C1543" s="182"/>
      <c r="D1543" s="182"/>
      <c r="E1543" s="182"/>
      <c r="F1543" s="182"/>
      <c r="I1543" s="40"/>
      <c r="J1543" s="186"/>
      <c r="K1543" s="186"/>
      <c r="L1543" s="186"/>
      <c r="M1543" s="186"/>
      <c r="N1543" s="186"/>
      <c r="O1543" s="186"/>
      <c r="P1543" s="186"/>
      <c r="Q1543" s="182"/>
      <c r="R1543" s="182"/>
      <c r="S1543" s="182"/>
      <c r="T1543" s="186"/>
      <c r="U1543" s="186"/>
      <c r="AA1543" s="35"/>
      <c r="AB1543" s="35"/>
    </row>
    <row r="1544" spans="2:28" x14ac:dyDescent="0.2">
      <c r="B1544" s="182"/>
      <c r="C1544" s="182"/>
      <c r="D1544" s="182"/>
      <c r="E1544" s="182"/>
      <c r="F1544" s="182"/>
      <c r="I1544" s="40"/>
      <c r="J1544" s="186"/>
      <c r="K1544" s="186"/>
      <c r="L1544" s="186"/>
      <c r="M1544" s="186"/>
      <c r="N1544" s="186"/>
      <c r="O1544" s="186"/>
      <c r="P1544" s="186"/>
      <c r="Q1544" s="182"/>
      <c r="R1544" s="182"/>
      <c r="S1544" s="182"/>
      <c r="T1544" s="186"/>
      <c r="U1544" s="186"/>
      <c r="AA1544" s="35"/>
      <c r="AB1544" s="35"/>
    </row>
    <row r="1545" spans="2:28" x14ac:dyDescent="0.2">
      <c r="B1545" s="182"/>
      <c r="C1545" s="182"/>
      <c r="D1545" s="182"/>
      <c r="E1545" s="182"/>
      <c r="F1545" s="182"/>
      <c r="I1545" s="40"/>
      <c r="J1545" s="186"/>
      <c r="K1545" s="186"/>
      <c r="L1545" s="186"/>
      <c r="M1545" s="186"/>
      <c r="N1545" s="186"/>
      <c r="O1545" s="186"/>
      <c r="P1545" s="186"/>
      <c r="Q1545" s="182"/>
      <c r="R1545" s="182"/>
      <c r="S1545" s="182"/>
      <c r="T1545" s="186"/>
      <c r="U1545" s="186"/>
      <c r="AA1545" s="35"/>
      <c r="AB1545" s="35"/>
    </row>
    <row r="1546" spans="2:28" x14ac:dyDescent="0.2">
      <c r="B1546" s="182"/>
      <c r="C1546" s="182"/>
      <c r="D1546" s="182"/>
      <c r="E1546" s="182"/>
      <c r="F1546" s="182"/>
      <c r="I1546" s="40"/>
      <c r="J1546" s="186"/>
      <c r="K1546" s="186"/>
      <c r="L1546" s="186"/>
      <c r="M1546" s="186"/>
      <c r="N1546" s="186"/>
      <c r="O1546" s="186"/>
      <c r="P1546" s="186"/>
      <c r="Q1546" s="182"/>
      <c r="R1546" s="182"/>
      <c r="S1546" s="182"/>
      <c r="T1546" s="186"/>
      <c r="U1546" s="186"/>
      <c r="AA1546" s="35"/>
      <c r="AB1546" s="35"/>
    </row>
    <row r="1547" spans="2:28" x14ac:dyDescent="0.2">
      <c r="B1547" s="182"/>
      <c r="C1547" s="182"/>
      <c r="D1547" s="182"/>
      <c r="E1547" s="182"/>
      <c r="F1547" s="182"/>
      <c r="I1547" s="40"/>
      <c r="J1547" s="186"/>
      <c r="K1547" s="186"/>
      <c r="L1547" s="186"/>
      <c r="M1547" s="186"/>
      <c r="N1547" s="186"/>
      <c r="O1547" s="186"/>
      <c r="P1547" s="186"/>
      <c r="Q1547" s="182"/>
      <c r="R1547" s="182"/>
      <c r="S1547" s="182"/>
      <c r="T1547" s="186"/>
      <c r="U1547" s="186"/>
      <c r="AA1547" s="35"/>
      <c r="AB1547" s="35"/>
    </row>
    <row r="1548" spans="2:28" x14ac:dyDescent="0.2">
      <c r="B1548" s="182"/>
      <c r="C1548" s="182"/>
      <c r="D1548" s="182"/>
      <c r="E1548" s="182"/>
      <c r="F1548" s="182"/>
      <c r="I1548" s="40"/>
      <c r="J1548" s="186"/>
      <c r="K1548" s="186"/>
      <c r="L1548" s="186"/>
      <c r="M1548" s="186"/>
      <c r="N1548" s="186"/>
      <c r="O1548" s="186"/>
      <c r="P1548" s="186"/>
      <c r="Q1548" s="182"/>
      <c r="R1548" s="182"/>
      <c r="S1548" s="182"/>
      <c r="T1548" s="186"/>
      <c r="U1548" s="186"/>
      <c r="AA1548" s="35"/>
      <c r="AB1548" s="35"/>
    </row>
    <row r="1549" spans="2:28" x14ac:dyDescent="0.2">
      <c r="B1549" s="182"/>
      <c r="C1549" s="182"/>
      <c r="D1549" s="182"/>
      <c r="E1549" s="182"/>
      <c r="F1549" s="182"/>
      <c r="I1549" s="40"/>
      <c r="J1549" s="186"/>
      <c r="K1549" s="186"/>
      <c r="L1549" s="186"/>
      <c r="M1549" s="186"/>
      <c r="N1549" s="186"/>
      <c r="O1549" s="186"/>
      <c r="P1549" s="186"/>
      <c r="Q1549" s="182"/>
      <c r="R1549" s="182"/>
      <c r="S1549" s="182"/>
      <c r="T1549" s="186"/>
      <c r="U1549" s="186"/>
      <c r="AA1549" s="35"/>
      <c r="AB1549" s="35"/>
    </row>
    <row r="1550" spans="2:28" x14ac:dyDescent="0.2">
      <c r="B1550" s="182"/>
      <c r="C1550" s="182"/>
      <c r="D1550" s="182"/>
      <c r="E1550" s="182"/>
      <c r="F1550" s="182"/>
      <c r="I1550" s="40"/>
      <c r="J1550" s="186"/>
      <c r="K1550" s="186"/>
      <c r="L1550" s="186"/>
      <c r="M1550" s="186"/>
      <c r="N1550" s="186"/>
      <c r="O1550" s="186"/>
      <c r="P1550" s="186"/>
      <c r="Q1550" s="182"/>
      <c r="R1550" s="182"/>
      <c r="S1550" s="182"/>
      <c r="T1550" s="186"/>
      <c r="U1550" s="186"/>
      <c r="AA1550" s="35"/>
      <c r="AB1550" s="35"/>
    </row>
    <row r="1551" spans="2:28" x14ac:dyDescent="0.2">
      <c r="B1551" s="182"/>
      <c r="C1551" s="182"/>
      <c r="D1551" s="182"/>
      <c r="E1551" s="182"/>
      <c r="F1551" s="182"/>
      <c r="I1551" s="40"/>
      <c r="J1551" s="186"/>
      <c r="K1551" s="186"/>
      <c r="L1551" s="186"/>
      <c r="M1551" s="186"/>
      <c r="N1551" s="186"/>
      <c r="O1551" s="186"/>
      <c r="P1551" s="186"/>
      <c r="Q1551" s="182"/>
      <c r="R1551" s="182"/>
      <c r="S1551" s="182"/>
      <c r="T1551" s="186"/>
      <c r="U1551" s="186"/>
      <c r="AA1551" s="35"/>
      <c r="AB1551" s="35"/>
    </row>
    <row r="1552" spans="2:28" x14ac:dyDescent="0.2">
      <c r="B1552" s="182"/>
      <c r="C1552" s="182"/>
      <c r="D1552" s="182"/>
      <c r="E1552" s="182"/>
      <c r="F1552" s="182"/>
      <c r="I1552" s="40"/>
      <c r="J1552" s="186"/>
      <c r="K1552" s="186"/>
      <c r="L1552" s="186"/>
      <c r="M1552" s="186"/>
      <c r="N1552" s="186"/>
      <c r="O1552" s="186"/>
      <c r="P1552" s="186"/>
      <c r="Q1552" s="182"/>
      <c r="R1552" s="182"/>
      <c r="S1552" s="182"/>
      <c r="T1552" s="186"/>
      <c r="U1552" s="186"/>
      <c r="AA1552" s="35"/>
      <c r="AB1552" s="35"/>
    </row>
    <row r="1553" spans="2:28" x14ac:dyDescent="0.2">
      <c r="B1553" s="182"/>
      <c r="C1553" s="182"/>
      <c r="D1553" s="182"/>
      <c r="E1553" s="182"/>
      <c r="F1553" s="182"/>
      <c r="I1553" s="40"/>
      <c r="J1553" s="186"/>
      <c r="K1553" s="186"/>
      <c r="L1553" s="186"/>
      <c r="M1553" s="186"/>
      <c r="N1553" s="186"/>
      <c r="O1553" s="186"/>
      <c r="P1553" s="186"/>
      <c r="Q1553" s="182"/>
      <c r="R1553" s="182"/>
      <c r="S1553" s="182"/>
      <c r="T1553" s="186"/>
      <c r="U1553" s="186"/>
      <c r="AA1553" s="35"/>
      <c r="AB1553" s="35"/>
    </row>
    <row r="1554" spans="2:28" x14ac:dyDescent="0.2">
      <c r="B1554" s="182"/>
      <c r="C1554" s="182"/>
      <c r="D1554" s="182"/>
      <c r="E1554" s="182"/>
      <c r="F1554" s="182"/>
      <c r="I1554" s="40"/>
      <c r="J1554" s="186"/>
      <c r="K1554" s="186"/>
      <c r="L1554" s="186"/>
      <c r="M1554" s="186"/>
      <c r="N1554" s="186"/>
      <c r="O1554" s="186"/>
      <c r="P1554" s="186"/>
      <c r="Q1554" s="182"/>
      <c r="R1554" s="182"/>
      <c r="S1554" s="182"/>
      <c r="T1554" s="186"/>
      <c r="U1554" s="186"/>
      <c r="AA1554" s="35"/>
      <c r="AB1554" s="35"/>
    </row>
    <row r="1555" spans="2:28" x14ac:dyDescent="0.2">
      <c r="B1555" s="182"/>
      <c r="C1555" s="182"/>
      <c r="D1555" s="182"/>
      <c r="E1555" s="182"/>
      <c r="F1555" s="182"/>
      <c r="I1555" s="40"/>
      <c r="J1555" s="186"/>
      <c r="K1555" s="186"/>
      <c r="L1555" s="186"/>
      <c r="M1555" s="186"/>
      <c r="N1555" s="186"/>
      <c r="O1555" s="186"/>
      <c r="P1555" s="186"/>
      <c r="Q1555" s="182"/>
      <c r="R1555" s="182"/>
      <c r="S1555" s="182"/>
      <c r="T1555" s="186"/>
      <c r="U1555" s="186"/>
      <c r="AA1555" s="35"/>
      <c r="AB1555" s="35"/>
    </row>
    <row r="1556" spans="2:28" x14ac:dyDescent="0.2">
      <c r="B1556" s="182"/>
      <c r="C1556" s="182"/>
      <c r="D1556" s="182"/>
      <c r="E1556" s="182"/>
      <c r="F1556" s="182"/>
      <c r="I1556" s="40"/>
      <c r="J1556" s="186"/>
      <c r="K1556" s="186"/>
      <c r="L1556" s="186"/>
      <c r="M1556" s="186"/>
      <c r="N1556" s="186"/>
      <c r="O1556" s="186"/>
      <c r="P1556" s="186"/>
      <c r="Q1556" s="182"/>
      <c r="R1556" s="182"/>
      <c r="S1556" s="182"/>
      <c r="T1556" s="186"/>
      <c r="U1556" s="186"/>
      <c r="AA1556" s="35"/>
      <c r="AB1556" s="35"/>
    </row>
    <row r="1557" spans="2:28" x14ac:dyDescent="0.2">
      <c r="B1557" s="182"/>
      <c r="C1557" s="182"/>
      <c r="D1557" s="182"/>
      <c r="E1557" s="182"/>
      <c r="F1557" s="182"/>
      <c r="I1557" s="40"/>
      <c r="J1557" s="186"/>
      <c r="K1557" s="186"/>
      <c r="L1557" s="186"/>
      <c r="M1557" s="186"/>
      <c r="N1557" s="186"/>
      <c r="O1557" s="186"/>
      <c r="P1557" s="186"/>
      <c r="Q1557" s="182"/>
      <c r="R1557" s="182"/>
      <c r="S1557" s="182"/>
      <c r="T1557" s="186"/>
      <c r="U1557" s="186"/>
      <c r="AA1557" s="35"/>
      <c r="AB1557" s="35"/>
    </row>
    <row r="1558" spans="2:28" x14ac:dyDescent="0.2">
      <c r="B1558" s="182"/>
      <c r="C1558" s="182"/>
      <c r="D1558" s="182"/>
      <c r="E1558" s="182"/>
      <c r="F1558" s="182"/>
      <c r="I1558" s="40"/>
      <c r="J1558" s="186"/>
      <c r="K1558" s="186"/>
      <c r="L1558" s="186"/>
      <c r="M1558" s="186"/>
      <c r="N1558" s="186"/>
      <c r="O1558" s="186"/>
      <c r="P1558" s="186"/>
      <c r="Q1558" s="182"/>
      <c r="R1558" s="182"/>
      <c r="S1558" s="182"/>
      <c r="T1558" s="186"/>
      <c r="U1558" s="186"/>
      <c r="AA1558" s="35"/>
      <c r="AB1558" s="35"/>
    </row>
    <row r="1559" spans="2:28" x14ac:dyDescent="0.2">
      <c r="B1559" s="182"/>
      <c r="C1559" s="182"/>
      <c r="D1559" s="182"/>
      <c r="E1559" s="182"/>
      <c r="F1559" s="182"/>
      <c r="I1559" s="40"/>
      <c r="J1559" s="186"/>
      <c r="K1559" s="186"/>
      <c r="L1559" s="186"/>
      <c r="M1559" s="186"/>
      <c r="N1559" s="186"/>
      <c r="O1559" s="186"/>
      <c r="P1559" s="186"/>
      <c r="Q1559" s="182"/>
      <c r="R1559" s="182"/>
      <c r="S1559" s="182"/>
      <c r="T1559" s="186"/>
      <c r="U1559" s="186"/>
      <c r="AA1559" s="35"/>
      <c r="AB1559" s="35"/>
    </row>
    <row r="1560" spans="2:28" x14ac:dyDescent="0.2">
      <c r="B1560" s="182"/>
      <c r="C1560" s="182"/>
      <c r="D1560" s="182"/>
      <c r="E1560" s="182"/>
      <c r="F1560" s="182"/>
      <c r="I1560" s="40"/>
      <c r="J1560" s="186"/>
      <c r="K1560" s="186"/>
      <c r="L1560" s="186"/>
      <c r="M1560" s="186"/>
      <c r="N1560" s="186"/>
      <c r="O1560" s="186"/>
      <c r="P1560" s="186"/>
      <c r="Q1560" s="182"/>
      <c r="R1560" s="182"/>
      <c r="S1560" s="182"/>
      <c r="T1560" s="186"/>
      <c r="U1560" s="186"/>
      <c r="AA1560" s="35"/>
      <c r="AB1560" s="35"/>
    </row>
    <row r="1561" spans="2:28" x14ac:dyDescent="0.2">
      <c r="B1561" s="182"/>
      <c r="C1561" s="182"/>
      <c r="D1561" s="182"/>
      <c r="E1561" s="182"/>
      <c r="F1561" s="182"/>
      <c r="I1561" s="40"/>
      <c r="J1561" s="186"/>
      <c r="K1561" s="186"/>
      <c r="L1561" s="186"/>
      <c r="M1561" s="186"/>
      <c r="N1561" s="186"/>
      <c r="O1561" s="186"/>
      <c r="P1561" s="186"/>
      <c r="Q1561" s="182"/>
      <c r="R1561" s="182"/>
      <c r="S1561" s="182"/>
      <c r="T1561" s="186"/>
      <c r="U1561" s="186"/>
      <c r="AA1561" s="35"/>
      <c r="AB1561" s="35"/>
    </row>
    <row r="1562" spans="2:28" x14ac:dyDescent="0.2">
      <c r="B1562" s="182"/>
      <c r="C1562" s="182"/>
      <c r="D1562" s="182"/>
      <c r="E1562" s="182"/>
      <c r="F1562" s="182"/>
      <c r="I1562" s="40"/>
      <c r="J1562" s="186"/>
      <c r="K1562" s="186"/>
      <c r="L1562" s="186"/>
      <c r="M1562" s="186"/>
      <c r="N1562" s="186"/>
      <c r="O1562" s="186"/>
      <c r="P1562" s="186"/>
      <c r="Q1562" s="182"/>
      <c r="R1562" s="182"/>
      <c r="S1562" s="182"/>
      <c r="T1562" s="186"/>
      <c r="U1562" s="186"/>
      <c r="AA1562" s="35"/>
      <c r="AB1562" s="35"/>
    </row>
    <row r="1563" spans="2:28" x14ac:dyDescent="0.2">
      <c r="B1563" s="182"/>
      <c r="C1563" s="182"/>
      <c r="D1563" s="182"/>
      <c r="E1563" s="182"/>
      <c r="F1563" s="182"/>
      <c r="I1563" s="40"/>
      <c r="J1563" s="186"/>
      <c r="K1563" s="186"/>
      <c r="L1563" s="186"/>
      <c r="M1563" s="186"/>
      <c r="N1563" s="186"/>
      <c r="O1563" s="186"/>
      <c r="P1563" s="186"/>
      <c r="Q1563" s="182"/>
      <c r="R1563" s="182"/>
      <c r="S1563" s="182"/>
      <c r="T1563" s="186"/>
      <c r="U1563" s="186"/>
      <c r="AA1563" s="35"/>
      <c r="AB1563" s="35"/>
    </row>
    <row r="1564" spans="2:28" x14ac:dyDescent="0.2">
      <c r="B1564" s="182"/>
      <c r="C1564" s="182"/>
      <c r="D1564" s="182"/>
      <c r="E1564" s="182"/>
      <c r="F1564" s="182"/>
      <c r="I1564" s="40"/>
      <c r="J1564" s="186"/>
      <c r="K1564" s="186"/>
      <c r="L1564" s="186"/>
      <c r="M1564" s="186"/>
      <c r="N1564" s="186"/>
      <c r="O1564" s="186"/>
      <c r="P1564" s="186"/>
      <c r="Q1564" s="182"/>
      <c r="R1564" s="182"/>
      <c r="S1564" s="182"/>
      <c r="T1564" s="186"/>
      <c r="U1564" s="186"/>
      <c r="AA1564" s="35"/>
      <c r="AB1564" s="35"/>
    </row>
    <row r="1565" spans="2:28" x14ac:dyDescent="0.2">
      <c r="B1565" s="182"/>
      <c r="C1565" s="182"/>
      <c r="D1565" s="182"/>
      <c r="E1565" s="182"/>
      <c r="F1565" s="182"/>
      <c r="I1565" s="40"/>
      <c r="J1565" s="186"/>
      <c r="K1565" s="186"/>
      <c r="L1565" s="186"/>
      <c r="M1565" s="186"/>
      <c r="N1565" s="186"/>
      <c r="O1565" s="186"/>
      <c r="P1565" s="186"/>
      <c r="Q1565" s="182"/>
      <c r="R1565" s="182"/>
      <c r="S1565" s="182"/>
      <c r="T1565" s="186"/>
      <c r="U1565" s="186"/>
      <c r="AA1565" s="35"/>
      <c r="AB1565" s="35"/>
    </row>
    <row r="1566" spans="2:28" x14ac:dyDescent="0.2">
      <c r="B1566" s="182"/>
      <c r="C1566" s="182"/>
      <c r="D1566" s="182"/>
      <c r="E1566" s="182"/>
      <c r="F1566" s="182"/>
      <c r="I1566" s="40"/>
      <c r="J1566" s="186"/>
      <c r="K1566" s="186"/>
      <c r="L1566" s="186"/>
      <c r="M1566" s="186"/>
      <c r="N1566" s="186"/>
      <c r="O1566" s="186"/>
      <c r="P1566" s="186"/>
      <c r="Q1566" s="182"/>
      <c r="R1566" s="182"/>
      <c r="S1566" s="182"/>
      <c r="T1566" s="186"/>
      <c r="U1566" s="186"/>
      <c r="AA1566" s="35"/>
      <c r="AB1566" s="35"/>
    </row>
    <row r="1567" spans="2:28" x14ac:dyDescent="0.2">
      <c r="B1567" s="182"/>
      <c r="C1567" s="182"/>
      <c r="D1567" s="182"/>
      <c r="E1567" s="182"/>
      <c r="F1567" s="182"/>
      <c r="I1567" s="40"/>
      <c r="J1567" s="186"/>
      <c r="K1567" s="186"/>
      <c r="L1567" s="186"/>
      <c r="M1567" s="186"/>
      <c r="N1567" s="186"/>
      <c r="O1567" s="186"/>
      <c r="P1567" s="186"/>
      <c r="Q1567" s="182"/>
      <c r="R1567" s="182"/>
      <c r="S1567" s="182"/>
      <c r="T1567" s="186"/>
      <c r="U1567" s="186"/>
      <c r="AA1567" s="35"/>
      <c r="AB1567" s="35"/>
    </row>
    <row r="1568" spans="2:28" x14ac:dyDescent="0.2">
      <c r="B1568" s="182"/>
      <c r="C1568" s="182"/>
      <c r="D1568" s="182"/>
      <c r="E1568" s="182"/>
      <c r="F1568" s="182"/>
      <c r="I1568" s="40"/>
      <c r="J1568" s="186"/>
      <c r="K1568" s="186"/>
      <c r="L1568" s="186"/>
      <c r="M1568" s="186"/>
      <c r="N1568" s="186"/>
      <c r="O1568" s="186"/>
      <c r="P1568" s="186"/>
      <c r="Q1568" s="182"/>
      <c r="R1568" s="182"/>
      <c r="S1568" s="182"/>
      <c r="T1568" s="186"/>
      <c r="U1568" s="186"/>
      <c r="AA1568" s="35"/>
      <c r="AB1568" s="35"/>
    </row>
    <row r="1569" spans="2:28" x14ac:dyDescent="0.2">
      <c r="B1569" s="182"/>
      <c r="C1569" s="182"/>
      <c r="D1569" s="182"/>
      <c r="E1569" s="182"/>
      <c r="F1569" s="182"/>
      <c r="I1569" s="40"/>
      <c r="J1569" s="186"/>
      <c r="K1569" s="186"/>
      <c r="L1569" s="186"/>
      <c r="M1569" s="186"/>
      <c r="N1569" s="186"/>
      <c r="O1569" s="186"/>
      <c r="P1569" s="186"/>
      <c r="Q1569" s="182"/>
      <c r="R1569" s="182"/>
      <c r="S1569" s="182"/>
      <c r="T1569" s="186"/>
      <c r="U1569" s="186"/>
      <c r="AA1569" s="35"/>
      <c r="AB1569" s="35"/>
    </row>
    <row r="1570" spans="2:28" x14ac:dyDescent="0.2">
      <c r="B1570" s="182"/>
      <c r="C1570" s="182"/>
      <c r="D1570" s="182"/>
      <c r="E1570" s="182"/>
      <c r="F1570" s="182"/>
      <c r="I1570" s="40"/>
      <c r="J1570" s="186"/>
      <c r="K1570" s="186"/>
      <c r="L1570" s="186"/>
      <c r="M1570" s="186"/>
      <c r="N1570" s="186"/>
      <c r="O1570" s="186"/>
      <c r="P1570" s="186"/>
      <c r="Q1570" s="182"/>
      <c r="R1570" s="182"/>
      <c r="S1570" s="182"/>
      <c r="T1570" s="186"/>
      <c r="U1570" s="186"/>
      <c r="AA1570" s="35"/>
      <c r="AB1570" s="35"/>
    </row>
    <row r="1571" spans="2:28" x14ac:dyDescent="0.2">
      <c r="B1571" s="182"/>
      <c r="C1571" s="182"/>
      <c r="D1571" s="182"/>
      <c r="E1571" s="182"/>
      <c r="F1571" s="182"/>
      <c r="I1571" s="40"/>
      <c r="J1571" s="186"/>
      <c r="K1571" s="186"/>
      <c r="L1571" s="186"/>
      <c r="M1571" s="186"/>
      <c r="N1571" s="186"/>
      <c r="O1571" s="186"/>
      <c r="P1571" s="186"/>
      <c r="Q1571" s="182"/>
      <c r="R1571" s="182"/>
      <c r="S1571" s="182"/>
      <c r="T1571" s="186"/>
      <c r="U1571" s="186"/>
      <c r="AA1571" s="35"/>
      <c r="AB1571" s="35"/>
    </row>
    <row r="1572" spans="2:28" x14ac:dyDescent="0.2">
      <c r="B1572" s="182"/>
      <c r="C1572" s="182"/>
      <c r="D1572" s="182"/>
      <c r="E1572" s="182"/>
      <c r="F1572" s="182"/>
      <c r="I1572" s="40"/>
      <c r="J1572" s="186"/>
      <c r="K1572" s="186"/>
      <c r="L1572" s="186"/>
      <c r="M1572" s="186"/>
      <c r="N1572" s="186"/>
      <c r="O1572" s="186"/>
      <c r="P1572" s="186"/>
      <c r="Q1572" s="182"/>
      <c r="R1572" s="182"/>
      <c r="S1572" s="182"/>
      <c r="T1572" s="186"/>
      <c r="U1572" s="186"/>
      <c r="AA1572" s="35"/>
      <c r="AB1572" s="35"/>
    </row>
    <row r="1573" spans="2:28" x14ac:dyDescent="0.2">
      <c r="B1573" s="182"/>
      <c r="C1573" s="182"/>
      <c r="D1573" s="182"/>
      <c r="E1573" s="182"/>
      <c r="F1573" s="182"/>
      <c r="I1573" s="40"/>
      <c r="J1573" s="186"/>
      <c r="K1573" s="186"/>
      <c r="L1573" s="186"/>
      <c r="M1573" s="186"/>
      <c r="N1573" s="186"/>
      <c r="O1573" s="186"/>
      <c r="P1573" s="186"/>
      <c r="Q1573" s="182"/>
      <c r="R1573" s="182"/>
      <c r="S1573" s="182"/>
      <c r="T1573" s="186"/>
      <c r="U1573" s="186"/>
      <c r="AA1573" s="35"/>
      <c r="AB1573" s="35"/>
    </row>
    <row r="1574" spans="2:28" x14ac:dyDescent="0.2">
      <c r="B1574" s="182"/>
      <c r="C1574" s="182"/>
      <c r="D1574" s="182"/>
      <c r="E1574" s="182"/>
      <c r="F1574" s="182"/>
      <c r="I1574" s="40"/>
      <c r="J1574" s="186"/>
      <c r="K1574" s="186"/>
      <c r="L1574" s="186"/>
      <c r="M1574" s="186"/>
      <c r="N1574" s="186"/>
      <c r="O1574" s="186"/>
      <c r="P1574" s="186"/>
      <c r="Q1574" s="182"/>
      <c r="R1574" s="182"/>
      <c r="S1574" s="182"/>
      <c r="T1574" s="186"/>
      <c r="U1574" s="186"/>
      <c r="AA1574" s="35"/>
      <c r="AB1574" s="35"/>
    </row>
    <row r="1575" spans="2:28" x14ac:dyDescent="0.2">
      <c r="B1575" s="182"/>
      <c r="C1575" s="182"/>
      <c r="D1575" s="182"/>
      <c r="E1575" s="182"/>
      <c r="F1575" s="182"/>
      <c r="I1575" s="40"/>
      <c r="J1575" s="186"/>
      <c r="K1575" s="186"/>
      <c r="L1575" s="186"/>
      <c r="M1575" s="186"/>
      <c r="N1575" s="186"/>
      <c r="O1575" s="186"/>
      <c r="P1575" s="186"/>
      <c r="Q1575" s="182"/>
      <c r="R1575" s="182"/>
      <c r="S1575" s="182"/>
      <c r="T1575" s="186"/>
      <c r="U1575" s="186"/>
      <c r="AA1575" s="35"/>
      <c r="AB1575" s="35"/>
    </row>
    <row r="1576" spans="2:28" x14ac:dyDescent="0.2">
      <c r="B1576" s="182"/>
      <c r="C1576" s="182"/>
      <c r="D1576" s="182"/>
      <c r="E1576" s="182"/>
      <c r="F1576" s="182"/>
      <c r="I1576" s="40"/>
      <c r="J1576" s="186"/>
      <c r="K1576" s="186"/>
      <c r="L1576" s="186"/>
      <c r="M1576" s="186"/>
      <c r="N1576" s="186"/>
      <c r="O1576" s="186"/>
      <c r="P1576" s="186"/>
      <c r="Q1576" s="182"/>
      <c r="R1576" s="182"/>
      <c r="S1576" s="182"/>
      <c r="T1576" s="186"/>
      <c r="U1576" s="186"/>
      <c r="AA1576" s="35"/>
      <c r="AB1576" s="35"/>
    </row>
    <row r="1577" spans="2:28" x14ac:dyDescent="0.2">
      <c r="B1577" s="182"/>
      <c r="C1577" s="182"/>
      <c r="D1577" s="182"/>
      <c r="E1577" s="182"/>
      <c r="F1577" s="182"/>
      <c r="I1577" s="40"/>
      <c r="J1577" s="186"/>
      <c r="K1577" s="186"/>
      <c r="L1577" s="186"/>
      <c r="M1577" s="186"/>
      <c r="N1577" s="186"/>
      <c r="O1577" s="186"/>
      <c r="P1577" s="186"/>
      <c r="Q1577" s="182"/>
      <c r="R1577" s="182"/>
      <c r="S1577" s="182"/>
      <c r="T1577" s="186"/>
      <c r="U1577" s="186"/>
      <c r="AA1577" s="35"/>
      <c r="AB1577" s="35"/>
    </row>
    <row r="1578" spans="2:28" x14ac:dyDescent="0.2">
      <c r="B1578" s="182"/>
      <c r="C1578" s="182"/>
      <c r="D1578" s="182"/>
      <c r="E1578" s="182"/>
      <c r="F1578" s="182"/>
      <c r="I1578" s="40"/>
      <c r="J1578" s="186"/>
      <c r="K1578" s="186"/>
      <c r="L1578" s="186"/>
      <c r="M1578" s="186"/>
      <c r="N1578" s="186"/>
      <c r="O1578" s="186"/>
      <c r="P1578" s="186"/>
      <c r="Q1578" s="182"/>
      <c r="R1578" s="182"/>
      <c r="S1578" s="182"/>
      <c r="T1578" s="186"/>
      <c r="U1578" s="186"/>
      <c r="AA1578" s="35"/>
      <c r="AB1578" s="35"/>
    </row>
    <row r="1579" spans="2:28" x14ac:dyDescent="0.2">
      <c r="B1579" s="182"/>
      <c r="C1579" s="182"/>
      <c r="D1579" s="182"/>
      <c r="E1579" s="182"/>
      <c r="F1579" s="182"/>
      <c r="I1579" s="40"/>
      <c r="J1579" s="186"/>
      <c r="K1579" s="186"/>
      <c r="L1579" s="186"/>
      <c r="M1579" s="186"/>
      <c r="N1579" s="186"/>
      <c r="O1579" s="186"/>
      <c r="P1579" s="186"/>
      <c r="Q1579" s="182"/>
      <c r="R1579" s="182"/>
      <c r="S1579" s="182"/>
      <c r="T1579" s="186"/>
      <c r="U1579" s="186"/>
      <c r="AA1579" s="35"/>
      <c r="AB1579" s="35"/>
    </row>
    <row r="1580" spans="2:28" x14ac:dyDescent="0.2">
      <c r="B1580" s="182"/>
      <c r="C1580" s="182"/>
      <c r="D1580" s="182"/>
      <c r="E1580" s="182"/>
      <c r="F1580" s="182"/>
      <c r="I1580" s="40"/>
      <c r="J1580" s="186"/>
      <c r="K1580" s="186"/>
      <c r="L1580" s="186"/>
      <c r="M1580" s="186"/>
      <c r="N1580" s="186"/>
      <c r="O1580" s="186"/>
      <c r="P1580" s="186"/>
      <c r="Q1580" s="182"/>
      <c r="R1580" s="182"/>
      <c r="S1580" s="182"/>
      <c r="T1580" s="186"/>
      <c r="U1580" s="186"/>
      <c r="AA1580" s="35"/>
      <c r="AB1580" s="35"/>
    </row>
    <row r="1581" spans="2:28" x14ac:dyDescent="0.2">
      <c r="B1581" s="182"/>
      <c r="C1581" s="182"/>
      <c r="D1581" s="182"/>
      <c r="E1581" s="182"/>
      <c r="F1581" s="182"/>
      <c r="I1581" s="40"/>
      <c r="J1581" s="186"/>
      <c r="K1581" s="186"/>
      <c r="L1581" s="186"/>
      <c r="M1581" s="186"/>
      <c r="N1581" s="186"/>
      <c r="O1581" s="186"/>
      <c r="P1581" s="186"/>
      <c r="Q1581" s="182"/>
      <c r="R1581" s="182"/>
      <c r="S1581" s="182"/>
      <c r="T1581" s="186"/>
      <c r="U1581" s="186"/>
      <c r="AA1581" s="35"/>
      <c r="AB1581" s="35"/>
    </row>
    <row r="1582" spans="2:28" x14ac:dyDescent="0.2">
      <c r="B1582" s="182"/>
      <c r="C1582" s="182"/>
      <c r="D1582" s="182"/>
      <c r="E1582" s="182"/>
      <c r="F1582" s="182"/>
      <c r="I1582" s="40"/>
      <c r="J1582" s="186"/>
      <c r="K1582" s="186"/>
      <c r="L1582" s="186"/>
      <c r="M1582" s="186"/>
      <c r="N1582" s="186"/>
      <c r="O1582" s="186"/>
      <c r="P1582" s="186"/>
      <c r="Q1582" s="182"/>
      <c r="R1582" s="182"/>
      <c r="S1582" s="182"/>
      <c r="T1582" s="186"/>
      <c r="U1582" s="186"/>
      <c r="AA1582" s="35"/>
      <c r="AB1582" s="35"/>
    </row>
    <row r="1583" spans="2:28" x14ac:dyDescent="0.2">
      <c r="B1583" s="182"/>
      <c r="C1583" s="182"/>
      <c r="D1583" s="182"/>
      <c r="E1583" s="182"/>
      <c r="F1583" s="182"/>
      <c r="I1583" s="40"/>
      <c r="J1583" s="186"/>
      <c r="K1583" s="186"/>
      <c r="L1583" s="186"/>
      <c r="M1583" s="186"/>
      <c r="N1583" s="186"/>
      <c r="O1583" s="186"/>
      <c r="P1583" s="186"/>
      <c r="Q1583" s="182"/>
      <c r="R1583" s="182"/>
      <c r="S1583" s="182"/>
      <c r="T1583" s="186"/>
      <c r="U1583" s="186"/>
      <c r="AA1583" s="35"/>
      <c r="AB1583" s="35"/>
    </row>
    <row r="1584" spans="2:28" x14ac:dyDescent="0.2">
      <c r="B1584" s="182"/>
      <c r="C1584" s="182"/>
      <c r="D1584" s="182"/>
      <c r="E1584" s="182"/>
      <c r="F1584" s="182"/>
      <c r="I1584" s="40"/>
      <c r="J1584" s="186"/>
      <c r="K1584" s="186"/>
      <c r="L1584" s="186"/>
      <c r="M1584" s="186"/>
      <c r="N1584" s="186"/>
      <c r="O1584" s="186"/>
      <c r="P1584" s="186"/>
      <c r="Q1584" s="182"/>
      <c r="R1584" s="182"/>
      <c r="S1584" s="182"/>
      <c r="T1584" s="186"/>
      <c r="U1584" s="186"/>
      <c r="AA1584" s="35"/>
      <c r="AB1584" s="35"/>
    </row>
    <row r="1585" spans="2:28" x14ac:dyDescent="0.2">
      <c r="B1585" s="182"/>
      <c r="C1585" s="182"/>
      <c r="D1585" s="182"/>
      <c r="E1585" s="182"/>
      <c r="F1585" s="182"/>
      <c r="I1585" s="40"/>
      <c r="J1585" s="186"/>
      <c r="K1585" s="186"/>
      <c r="L1585" s="186"/>
      <c r="M1585" s="186"/>
      <c r="N1585" s="186"/>
      <c r="O1585" s="186"/>
      <c r="P1585" s="186"/>
      <c r="Q1585" s="182"/>
      <c r="R1585" s="182"/>
      <c r="S1585" s="182"/>
      <c r="T1585" s="186"/>
      <c r="U1585" s="186"/>
      <c r="AA1585" s="35"/>
      <c r="AB1585" s="35"/>
    </row>
    <row r="1586" spans="2:28" x14ac:dyDescent="0.2">
      <c r="B1586" s="182"/>
      <c r="C1586" s="182"/>
      <c r="D1586" s="182"/>
      <c r="E1586" s="182"/>
      <c r="F1586" s="182"/>
      <c r="I1586" s="40"/>
      <c r="J1586" s="186"/>
      <c r="K1586" s="186"/>
      <c r="L1586" s="186"/>
      <c r="M1586" s="186"/>
      <c r="N1586" s="186"/>
      <c r="O1586" s="186"/>
      <c r="P1586" s="186"/>
      <c r="Q1586" s="182"/>
      <c r="R1586" s="182"/>
      <c r="S1586" s="182"/>
      <c r="T1586" s="186"/>
      <c r="U1586" s="186"/>
      <c r="AA1586" s="35"/>
      <c r="AB1586" s="35"/>
    </row>
    <row r="1587" spans="2:28" x14ac:dyDescent="0.2">
      <c r="B1587" s="182"/>
      <c r="C1587" s="182"/>
      <c r="D1587" s="182"/>
      <c r="E1587" s="182"/>
      <c r="F1587" s="182"/>
      <c r="I1587" s="40"/>
      <c r="J1587" s="186"/>
      <c r="K1587" s="186"/>
      <c r="L1587" s="186"/>
      <c r="M1587" s="186"/>
      <c r="N1587" s="186"/>
      <c r="O1587" s="186"/>
      <c r="P1587" s="186"/>
      <c r="Q1587" s="182"/>
      <c r="R1587" s="182"/>
      <c r="S1587" s="182"/>
      <c r="T1587" s="186"/>
      <c r="U1587" s="186"/>
      <c r="AA1587" s="35"/>
      <c r="AB1587" s="35"/>
    </row>
    <row r="1588" spans="2:28" x14ac:dyDescent="0.2">
      <c r="B1588" s="182"/>
      <c r="C1588" s="182"/>
      <c r="D1588" s="182"/>
      <c r="E1588" s="182"/>
      <c r="F1588" s="182"/>
      <c r="I1588" s="40"/>
      <c r="J1588" s="186"/>
      <c r="K1588" s="186"/>
      <c r="L1588" s="186"/>
      <c r="M1588" s="186"/>
      <c r="N1588" s="186"/>
      <c r="O1588" s="186"/>
      <c r="P1588" s="186"/>
      <c r="Q1588" s="182"/>
      <c r="R1588" s="182"/>
      <c r="S1588" s="182"/>
      <c r="T1588" s="186"/>
      <c r="U1588" s="186"/>
      <c r="AA1588" s="35"/>
      <c r="AB1588" s="35"/>
    </row>
    <row r="1589" spans="2:28" x14ac:dyDescent="0.2">
      <c r="B1589" s="182"/>
      <c r="C1589" s="182"/>
      <c r="D1589" s="182"/>
      <c r="E1589" s="182"/>
      <c r="F1589" s="182"/>
      <c r="I1589" s="40"/>
      <c r="J1589" s="186"/>
      <c r="K1589" s="186"/>
      <c r="L1589" s="186"/>
      <c r="M1589" s="186"/>
      <c r="N1589" s="186"/>
      <c r="O1589" s="186"/>
      <c r="P1589" s="186"/>
      <c r="Q1589" s="182"/>
      <c r="R1589" s="182"/>
      <c r="S1589" s="182"/>
      <c r="T1589" s="186"/>
      <c r="U1589" s="186"/>
      <c r="AA1589" s="35"/>
      <c r="AB1589" s="35"/>
    </row>
    <row r="1590" spans="2:28" x14ac:dyDescent="0.2">
      <c r="B1590" s="182"/>
      <c r="C1590" s="182"/>
      <c r="D1590" s="182"/>
      <c r="E1590" s="182"/>
      <c r="F1590" s="182"/>
      <c r="I1590" s="40"/>
      <c r="J1590" s="186"/>
      <c r="K1590" s="186"/>
      <c r="L1590" s="186"/>
      <c r="M1590" s="186"/>
      <c r="N1590" s="186"/>
      <c r="O1590" s="186"/>
      <c r="P1590" s="186"/>
      <c r="Q1590" s="182"/>
      <c r="R1590" s="182"/>
      <c r="S1590" s="182"/>
      <c r="T1590" s="186"/>
      <c r="U1590" s="186"/>
      <c r="AA1590" s="35"/>
      <c r="AB1590" s="35"/>
    </row>
    <row r="1591" spans="2:28" x14ac:dyDescent="0.2">
      <c r="B1591" s="182"/>
      <c r="C1591" s="182"/>
      <c r="D1591" s="182"/>
      <c r="E1591" s="182"/>
      <c r="F1591" s="182"/>
      <c r="I1591" s="40"/>
      <c r="J1591" s="186"/>
      <c r="K1591" s="186"/>
      <c r="L1591" s="186"/>
      <c r="M1591" s="186"/>
      <c r="N1591" s="186"/>
      <c r="O1591" s="186"/>
      <c r="P1591" s="186"/>
      <c r="Q1591" s="182"/>
      <c r="R1591" s="182"/>
      <c r="S1591" s="182"/>
      <c r="T1591" s="186"/>
      <c r="U1591" s="186"/>
      <c r="AA1591" s="35"/>
      <c r="AB1591" s="35"/>
    </row>
    <row r="1592" spans="2:28" x14ac:dyDescent="0.2">
      <c r="B1592" s="182"/>
      <c r="C1592" s="182"/>
      <c r="D1592" s="182"/>
      <c r="E1592" s="182"/>
      <c r="F1592" s="182"/>
      <c r="I1592" s="40"/>
      <c r="J1592" s="186"/>
      <c r="K1592" s="186"/>
      <c r="L1592" s="186"/>
      <c r="M1592" s="186"/>
      <c r="N1592" s="186"/>
      <c r="O1592" s="186"/>
      <c r="P1592" s="186"/>
      <c r="Q1592" s="182"/>
      <c r="R1592" s="182"/>
      <c r="S1592" s="182"/>
      <c r="T1592" s="186"/>
      <c r="U1592" s="186"/>
      <c r="AA1592" s="35"/>
      <c r="AB1592" s="35"/>
    </row>
    <row r="1593" spans="2:28" x14ac:dyDescent="0.2">
      <c r="B1593" s="182"/>
      <c r="C1593" s="182"/>
      <c r="D1593" s="182"/>
      <c r="E1593" s="182"/>
      <c r="F1593" s="182"/>
      <c r="I1593" s="40"/>
      <c r="J1593" s="186"/>
      <c r="K1593" s="186"/>
      <c r="L1593" s="186"/>
      <c r="M1593" s="186"/>
      <c r="N1593" s="186"/>
      <c r="O1593" s="186"/>
      <c r="P1593" s="186"/>
      <c r="Q1593" s="182"/>
      <c r="R1593" s="182"/>
      <c r="S1593" s="182"/>
      <c r="T1593" s="186"/>
      <c r="U1593" s="186"/>
      <c r="AA1593" s="35"/>
      <c r="AB1593" s="35"/>
    </row>
    <row r="1594" spans="2:28" x14ac:dyDescent="0.2">
      <c r="B1594" s="182"/>
      <c r="C1594" s="182"/>
      <c r="D1594" s="182"/>
      <c r="E1594" s="182"/>
      <c r="F1594" s="182"/>
      <c r="I1594" s="40"/>
      <c r="J1594" s="186"/>
      <c r="K1594" s="186"/>
      <c r="L1594" s="186"/>
      <c r="M1594" s="186"/>
      <c r="N1594" s="186"/>
      <c r="O1594" s="186"/>
      <c r="P1594" s="186"/>
      <c r="Q1594" s="182"/>
      <c r="R1594" s="182"/>
      <c r="S1594" s="182"/>
      <c r="T1594" s="186"/>
      <c r="U1594" s="186"/>
      <c r="AA1594" s="35"/>
      <c r="AB1594" s="35"/>
    </row>
    <row r="1595" spans="2:28" x14ac:dyDescent="0.2">
      <c r="B1595" s="182"/>
      <c r="C1595" s="182"/>
      <c r="D1595" s="182"/>
      <c r="E1595" s="182"/>
      <c r="F1595" s="182"/>
      <c r="I1595" s="40"/>
      <c r="J1595" s="186"/>
      <c r="K1595" s="186"/>
      <c r="L1595" s="186"/>
      <c r="M1595" s="186"/>
      <c r="N1595" s="186"/>
      <c r="O1595" s="186"/>
      <c r="P1595" s="186"/>
      <c r="Q1595" s="182"/>
      <c r="R1595" s="182"/>
      <c r="S1595" s="182"/>
      <c r="T1595" s="186"/>
      <c r="U1595" s="186"/>
      <c r="AA1595" s="35"/>
      <c r="AB1595" s="35"/>
    </row>
    <row r="1596" spans="2:28" x14ac:dyDescent="0.2">
      <c r="B1596" s="182"/>
      <c r="C1596" s="182"/>
      <c r="D1596" s="182"/>
      <c r="E1596" s="182"/>
      <c r="F1596" s="182"/>
      <c r="I1596" s="40"/>
      <c r="J1596" s="186"/>
      <c r="K1596" s="186"/>
      <c r="L1596" s="186"/>
      <c r="M1596" s="186"/>
      <c r="N1596" s="186"/>
      <c r="O1596" s="186"/>
      <c r="P1596" s="186"/>
      <c r="Q1596" s="182"/>
      <c r="R1596" s="182"/>
      <c r="S1596" s="182"/>
      <c r="T1596" s="186"/>
      <c r="U1596" s="186"/>
      <c r="AA1596" s="35"/>
      <c r="AB1596" s="35"/>
    </row>
    <row r="1597" spans="2:28" x14ac:dyDescent="0.2">
      <c r="B1597" s="182"/>
      <c r="C1597" s="182"/>
      <c r="D1597" s="182"/>
      <c r="E1597" s="182"/>
      <c r="F1597" s="182"/>
      <c r="I1597" s="40"/>
      <c r="J1597" s="186"/>
      <c r="K1597" s="186"/>
      <c r="L1597" s="186"/>
      <c r="M1597" s="186"/>
      <c r="N1597" s="186"/>
      <c r="O1597" s="186"/>
      <c r="P1597" s="186"/>
      <c r="Q1597" s="182"/>
      <c r="R1597" s="182"/>
      <c r="S1597" s="182"/>
      <c r="T1597" s="186"/>
      <c r="U1597" s="186"/>
      <c r="AA1597" s="35"/>
      <c r="AB1597" s="35"/>
    </row>
    <row r="1598" spans="2:28" x14ac:dyDescent="0.2">
      <c r="B1598" s="182"/>
      <c r="C1598" s="182"/>
      <c r="D1598" s="182"/>
      <c r="E1598" s="182"/>
      <c r="F1598" s="182"/>
      <c r="I1598" s="40"/>
      <c r="J1598" s="186"/>
      <c r="K1598" s="186"/>
      <c r="L1598" s="186"/>
      <c r="M1598" s="186"/>
      <c r="N1598" s="186"/>
      <c r="O1598" s="186"/>
      <c r="P1598" s="186"/>
      <c r="Q1598" s="182"/>
      <c r="R1598" s="182"/>
      <c r="S1598" s="182"/>
      <c r="T1598" s="186"/>
      <c r="U1598" s="186"/>
      <c r="AA1598" s="35"/>
      <c r="AB1598" s="35"/>
    </row>
    <row r="1599" spans="2:28" x14ac:dyDescent="0.2">
      <c r="B1599" s="182"/>
      <c r="C1599" s="182"/>
      <c r="D1599" s="182"/>
      <c r="E1599" s="182"/>
      <c r="F1599" s="182"/>
      <c r="I1599" s="40"/>
      <c r="J1599" s="186"/>
      <c r="K1599" s="186"/>
      <c r="L1599" s="186"/>
      <c r="M1599" s="186"/>
      <c r="N1599" s="186"/>
      <c r="O1599" s="186"/>
      <c r="P1599" s="186"/>
      <c r="Q1599" s="182"/>
      <c r="R1599" s="182"/>
      <c r="S1599" s="182"/>
      <c r="T1599" s="186"/>
      <c r="U1599" s="186"/>
      <c r="AA1599" s="35"/>
      <c r="AB1599" s="35"/>
    </row>
    <row r="1600" spans="2:28" x14ac:dyDescent="0.2">
      <c r="B1600" s="182"/>
      <c r="C1600" s="182"/>
      <c r="D1600" s="182"/>
      <c r="E1600" s="182"/>
      <c r="F1600" s="182"/>
      <c r="I1600" s="40"/>
      <c r="J1600" s="186"/>
      <c r="K1600" s="186"/>
      <c r="L1600" s="186"/>
      <c r="M1600" s="186"/>
      <c r="N1600" s="186"/>
      <c r="O1600" s="186"/>
      <c r="P1600" s="186"/>
      <c r="Q1600" s="182"/>
      <c r="R1600" s="182"/>
      <c r="S1600" s="182"/>
      <c r="T1600" s="186"/>
      <c r="U1600" s="186"/>
      <c r="AA1600" s="35"/>
      <c r="AB1600" s="35"/>
    </row>
    <row r="1601" spans="2:28" x14ac:dyDescent="0.2">
      <c r="B1601" s="182"/>
      <c r="C1601" s="182"/>
      <c r="D1601" s="182"/>
      <c r="E1601" s="182"/>
      <c r="F1601" s="182"/>
      <c r="I1601" s="40"/>
      <c r="J1601" s="186"/>
      <c r="K1601" s="186"/>
      <c r="L1601" s="186"/>
      <c r="M1601" s="186"/>
      <c r="N1601" s="186"/>
      <c r="O1601" s="186"/>
      <c r="P1601" s="186"/>
      <c r="Q1601" s="182"/>
      <c r="R1601" s="182"/>
      <c r="S1601" s="182"/>
      <c r="T1601" s="186"/>
      <c r="U1601" s="186"/>
      <c r="AA1601" s="35"/>
      <c r="AB1601" s="35"/>
    </row>
    <row r="1602" spans="2:28" x14ac:dyDescent="0.2">
      <c r="B1602" s="182"/>
      <c r="C1602" s="182"/>
      <c r="D1602" s="182"/>
      <c r="E1602" s="182"/>
      <c r="F1602" s="182"/>
      <c r="I1602" s="40"/>
      <c r="J1602" s="186"/>
      <c r="K1602" s="186"/>
      <c r="L1602" s="186"/>
      <c r="M1602" s="186"/>
      <c r="N1602" s="186"/>
      <c r="O1602" s="186"/>
      <c r="P1602" s="186"/>
      <c r="Q1602" s="182"/>
      <c r="R1602" s="182"/>
      <c r="S1602" s="182"/>
      <c r="T1602" s="186"/>
      <c r="U1602" s="186"/>
      <c r="AA1602" s="35"/>
      <c r="AB1602" s="35"/>
    </row>
    <row r="1603" spans="2:28" x14ac:dyDescent="0.2">
      <c r="B1603" s="182"/>
      <c r="C1603" s="182"/>
      <c r="D1603" s="182"/>
      <c r="E1603" s="182"/>
      <c r="F1603" s="182"/>
      <c r="I1603" s="40"/>
      <c r="J1603" s="186"/>
      <c r="K1603" s="186"/>
      <c r="L1603" s="186"/>
      <c r="M1603" s="186"/>
      <c r="N1603" s="186"/>
      <c r="O1603" s="186"/>
      <c r="P1603" s="186"/>
      <c r="Q1603" s="182"/>
      <c r="R1603" s="182"/>
      <c r="S1603" s="182"/>
      <c r="T1603" s="186"/>
      <c r="U1603" s="186"/>
      <c r="AA1603" s="35"/>
      <c r="AB1603" s="35"/>
    </row>
    <row r="1604" spans="2:28" x14ac:dyDescent="0.2">
      <c r="B1604" s="182"/>
      <c r="C1604" s="182"/>
      <c r="D1604" s="182"/>
      <c r="E1604" s="182"/>
      <c r="F1604" s="182"/>
      <c r="I1604" s="40"/>
      <c r="J1604" s="186"/>
      <c r="K1604" s="186"/>
      <c r="L1604" s="186"/>
      <c r="M1604" s="186"/>
      <c r="N1604" s="186"/>
      <c r="O1604" s="186"/>
      <c r="P1604" s="186"/>
      <c r="Q1604" s="182"/>
      <c r="R1604" s="182"/>
      <c r="S1604" s="182"/>
      <c r="T1604" s="186"/>
      <c r="U1604" s="186"/>
      <c r="AA1604" s="35"/>
      <c r="AB1604" s="35"/>
    </row>
    <row r="1605" spans="2:28" x14ac:dyDescent="0.2">
      <c r="B1605" s="182"/>
      <c r="C1605" s="182"/>
      <c r="D1605" s="182"/>
      <c r="E1605" s="182"/>
      <c r="F1605" s="182"/>
      <c r="I1605" s="40"/>
      <c r="J1605" s="186"/>
      <c r="K1605" s="186"/>
      <c r="L1605" s="186"/>
      <c r="M1605" s="186"/>
      <c r="N1605" s="186"/>
      <c r="O1605" s="186"/>
      <c r="P1605" s="186"/>
      <c r="Q1605" s="182"/>
      <c r="R1605" s="182"/>
      <c r="S1605" s="182"/>
      <c r="T1605" s="186"/>
      <c r="U1605" s="186"/>
      <c r="AA1605" s="35"/>
      <c r="AB1605" s="35"/>
    </row>
    <row r="1606" spans="2:28" x14ac:dyDescent="0.2">
      <c r="B1606" s="182"/>
      <c r="C1606" s="182"/>
      <c r="D1606" s="182"/>
      <c r="E1606" s="182"/>
      <c r="F1606" s="182"/>
      <c r="I1606" s="40"/>
      <c r="J1606" s="186"/>
      <c r="K1606" s="186"/>
      <c r="L1606" s="186"/>
      <c r="M1606" s="186"/>
      <c r="N1606" s="186"/>
      <c r="O1606" s="186"/>
      <c r="P1606" s="186"/>
      <c r="Q1606" s="182"/>
      <c r="R1606" s="182"/>
      <c r="S1606" s="182"/>
      <c r="T1606" s="186"/>
      <c r="U1606" s="186"/>
      <c r="AA1606" s="35"/>
      <c r="AB1606" s="35"/>
    </row>
    <row r="1607" spans="2:28" x14ac:dyDescent="0.2">
      <c r="B1607" s="182"/>
      <c r="C1607" s="182"/>
      <c r="D1607" s="182"/>
      <c r="E1607" s="182"/>
      <c r="F1607" s="182"/>
      <c r="I1607" s="40"/>
      <c r="J1607" s="186"/>
      <c r="K1607" s="186"/>
      <c r="L1607" s="186"/>
      <c r="M1607" s="186"/>
      <c r="N1607" s="186"/>
      <c r="O1607" s="186"/>
      <c r="P1607" s="186"/>
      <c r="Q1607" s="182"/>
      <c r="R1607" s="182"/>
      <c r="S1607" s="182"/>
      <c r="T1607" s="186"/>
      <c r="U1607" s="186"/>
      <c r="AA1607" s="35"/>
      <c r="AB1607" s="35"/>
    </row>
    <row r="1608" spans="2:28" x14ac:dyDescent="0.2">
      <c r="B1608" s="182"/>
      <c r="C1608" s="182"/>
      <c r="D1608" s="182"/>
      <c r="E1608" s="182"/>
      <c r="F1608" s="182"/>
      <c r="I1608" s="40"/>
      <c r="J1608" s="186"/>
      <c r="K1608" s="186"/>
      <c r="L1608" s="186"/>
      <c r="M1608" s="186"/>
      <c r="N1608" s="186"/>
      <c r="O1608" s="186"/>
      <c r="P1608" s="186"/>
      <c r="Q1608" s="182"/>
      <c r="R1608" s="182"/>
      <c r="S1608" s="182"/>
      <c r="T1608" s="186"/>
      <c r="U1608" s="186"/>
      <c r="AA1608" s="35"/>
      <c r="AB1608" s="35"/>
    </row>
    <row r="1609" spans="2:28" x14ac:dyDescent="0.2">
      <c r="B1609" s="182"/>
      <c r="C1609" s="182"/>
      <c r="D1609" s="182"/>
      <c r="E1609" s="182"/>
      <c r="F1609" s="182"/>
      <c r="I1609" s="40"/>
      <c r="J1609" s="186"/>
      <c r="K1609" s="186"/>
      <c r="L1609" s="186"/>
      <c r="M1609" s="186"/>
      <c r="N1609" s="186"/>
      <c r="O1609" s="186"/>
      <c r="P1609" s="186"/>
      <c r="Q1609" s="182"/>
      <c r="R1609" s="182"/>
      <c r="S1609" s="182"/>
      <c r="T1609" s="186"/>
      <c r="U1609" s="186"/>
      <c r="AA1609" s="35"/>
      <c r="AB1609" s="35"/>
    </row>
    <row r="1610" spans="2:28" x14ac:dyDescent="0.2">
      <c r="B1610" s="182"/>
      <c r="C1610" s="182"/>
      <c r="D1610" s="182"/>
      <c r="E1610" s="182"/>
      <c r="F1610" s="182"/>
      <c r="I1610" s="40"/>
      <c r="J1610" s="186"/>
      <c r="K1610" s="186"/>
      <c r="L1610" s="186"/>
      <c r="M1610" s="186"/>
      <c r="N1610" s="186"/>
      <c r="O1610" s="186"/>
      <c r="P1610" s="186"/>
      <c r="Q1610" s="182"/>
      <c r="R1610" s="182"/>
      <c r="S1610" s="182"/>
      <c r="T1610" s="186"/>
      <c r="U1610" s="186"/>
      <c r="AA1610" s="35"/>
      <c r="AB1610" s="35"/>
    </row>
    <row r="1611" spans="2:28" x14ac:dyDescent="0.2">
      <c r="B1611" s="182"/>
      <c r="C1611" s="182"/>
      <c r="D1611" s="182"/>
      <c r="E1611" s="182"/>
      <c r="F1611" s="182"/>
      <c r="I1611" s="40"/>
      <c r="J1611" s="186"/>
      <c r="K1611" s="186"/>
      <c r="L1611" s="186"/>
      <c r="M1611" s="186"/>
      <c r="N1611" s="186"/>
      <c r="O1611" s="186"/>
      <c r="P1611" s="186"/>
      <c r="Q1611" s="182"/>
      <c r="R1611" s="182"/>
      <c r="S1611" s="182"/>
      <c r="T1611" s="186"/>
      <c r="U1611" s="186"/>
      <c r="AA1611" s="35"/>
      <c r="AB1611" s="35"/>
    </row>
    <row r="1612" spans="2:28" x14ac:dyDescent="0.2">
      <c r="B1612" s="182"/>
      <c r="C1612" s="182"/>
      <c r="D1612" s="182"/>
      <c r="E1612" s="182"/>
      <c r="F1612" s="182"/>
      <c r="I1612" s="40"/>
      <c r="J1612" s="186"/>
      <c r="K1612" s="186"/>
      <c r="L1612" s="186"/>
      <c r="M1612" s="186"/>
      <c r="N1612" s="186"/>
      <c r="O1612" s="186"/>
      <c r="P1612" s="186"/>
      <c r="Q1612" s="182"/>
      <c r="R1612" s="182"/>
      <c r="S1612" s="182"/>
      <c r="T1612" s="186"/>
      <c r="U1612" s="186"/>
      <c r="AA1612" s="35"/>
      <c r="AB1612" s="35"/>
    </row>
    <row r="1613" spans="2:28" x14ac:dyDescent="0.2">
      <c r="B1613" s="182"/>
      <c r="C1613" s="182"/>
      <c r="D1613" s="182"/>
      <c r="E1613" s="182"/>
      <c r="F1613" s="182"/>
      <c r="I1613" s="40"/>
      <c r="J1613" s="186"/>
      <c r="K1613" s="186"/>
      <c r="L1613" s="186"/>
      <c r="M1613" s="186"/>
      <c r="N1613" s="186"/>
      <c r="O1613" s="186"/>
      <c r="P1613" s="186"/>
      <c r="Q1613" s="182"/>
      <c r="R1613" s="182"/>
      <c r="S1613" s="182"/>
      <c r="T1613" s="186"/>
      <c r="U1613" s="186"/>
      <c r="AA1613" s="35"/>
      <c r="AB1613" s="35"/>
    </row>
    <row r="1614" spans="2:28" x14ac:dyDescent="0.2">
      <c r="B1614" s="182"/>
      <c r="C1614" s="182"/>
      <c r="D1614" s="182"/>
      <c r="E1614" s="182"/>
      <c r="F1614" s="182"/>
      <c r="I1614" s="40"/>
      <c r="J1614" s="186"/>
      <c r="K1614" s="186"/>
      <c r="L1614" s="186"/>
      <c r="M1614" s="186"/>
      <c r="N1614" s="186"/>
      <c r="O1614" s="186"/>
      <c r="P1614" s="186"/>
      <c r="Q1614" s="182"/>
      <c r="R1614" s="182"/>
      <c r="S1614" s="182"/>
      <c r="T1614" s="186"/>
      <c r="U1614" s="186"/>
      <c r="AA1614" s="35"/>
      <c r="AB1614" s="35"/>
    </row>
    <row r="1615" spans="2:28" x14ac:dyDescent="0.2">
      <c r="B1615" s="182"/>
      <c r="C1615" s="182"/>
      <c r="D1615" s="182"/>
      <c r="E1615" s="182"/>
      <c r="F1615" s="182"/>
      <c r="I1615" s="40"/>
      <c r="J1615" s="186"/>
      <c r="K1615" s="186"/>
      <c r="L1615" s="186"/>
      <c r="M1615" s="186"/>
      <c r="N1615" s="186"/>
      <c r="O1615" s="186"/>
      <c r="P1615" s="186"/>
      <c r="Q1615" s="182"/>
      <c r="R1615" s="182"/>
      <c r="S1615" s="182"/>
      <c r="T1615" s="186"/>
      <c r="U1615" s="186"/>
      <c r="AA1615" s="35"/>
      <c r="AB1615" s="35"/>
    </row>
    <row r="1616" spans="2:28" x14ac:dyDescent="0.2">
      <c r="B1616" s="182"/>
      <c r="C1616" s="182"/>
      <c r="D1616" s="182"/>
      <c r="E1616" s="182"/>
      <c r="F1616" s="182"/>
      <c r="I1616" s="40"/>
      <c r="J1616" s="186"/>
      <c r="K1616" s="186"/>
      <c r="L1616" s="186"/>
      <c r="M1616" s="186"/>
      <c r="N1616" s="186"/>
      <c r="O1616" s="186"/>
      <c r="P1616" s="186"/>
      <c r="Q1616" s="182"/>
      <c r="R1616" s="182"/>
      <c r="S1616" s="182"/>
      <c r="T1616" s="186"/>
      <c r="U1616" s="186"/>
      <c r="AA1616" s="35"/>
      <c r="AB1616" s="35"/>
    </row>
    <row r="1617" spans="2:28" x14ac:dyDescent="0.2">
      <c r="B1617" s="182"/>
      <c r="C1617" s="182"/>
      <c r="D1617" s="182"/>
      <c r="E1617" s="182"/>
      <c r="F1617" s="182"/>
      <c r="I1617" s="40"/>
      <c r="J1617" s="186"/>
      <c r="K1617" s="186"/>
      <c r="L1617" s="186"/>
      <c r="M1617" s="186"/>
      <c r="N1617" s="186"/>
      <c r="O1617" s="186"/>
      <c r="P1617" s="186"/>
      <c r="Q1617" s="182"/>
      <c r="R1617" s="182"/>
      <c r="S1617" s="182"/>
      <c r="T1617" s="186"/>
      <c r="U1617" s="186"/>
      <c r="AA1617" s="35"/>
      <c r="AB1617" s="35"/>
    </row>
    <row r="1618" spans="2:28" x14ac:dyDescent="0.2">
      <c r="B1618" s="182"/>
      <c r="C1618" s="182"/>
      <c r="D1618" s="182"/>
      <c r="E1618" s="182"/>
      <c r="F1618" s="182"/>
      <c r="I1618" s="40"/>
      <c r="J1618" s="186"/>
      <c r="K1618" s="186"/>
      <c r="L1618" s="186"/>
      <c r="M1618" s="186"/>
      <c r="N1618" s="186"/>
      <c r="O1618" s="186"/>
      <c r="P1618" s="186"/>
      <c r="Q1618" s="182"/>
      <c r="R1618" s="182"/>
      <c r="S1618" s="182"/>
      <c r="T1618" s="186"/>
      <c r="U1618" s="186"/>
      <c r="AA1618" s="35"/>
      <c r="AB1618" s="35"/>
    </row>
    <row r="1619" spans="2:28" x14ac:dyDescent="0.2">
      <c r="B1619" s="182"/>
      <c r="C1619" s="182"/>
      <c r="D1619" s="182"/>
      <c r="E1619" s="182"/>
      <c r="F1619" s="182"/>
      <c r="I1619" s="40"/>
      <c r="J1619" s="186"/>
      <c r="K1619" s="186"/>
      <c r="L1619" s="186"/>
      <c r="M1619" s="186"/>
      <c r="N1619" s="186"/>
      <c r="O1619" s="186"/>
      <c r="P1619" s="186"/>
      <c r="Q1619" s="182"/>
      <c r="R1619" s="182"/>
      <c r="S1619" s="182"/>
      <c r="T1619" s="186"/>
      <c r="U1619" s="186"/>
      <c r="AA1619" s="35"/>
      <c r="AB1619" s="35"/>
    </row>
    <row r="1620" spans="2:28" x14ac:dyDescent="0.2">
      <c r="B1620" s="182"/>
      <c r="C1620" s="182"/>
      <c r="D1620" s="182"/>
      <c r="E1620" s="182"/>
      <c r="F1620" s="182"/>
      <c r="I1620" s="40"/>
      <c r="J1620" s="186"/>
      <c r="K1620" s="186"/>
      <c r="L1620" s="186"/>
      <c r="M1620" s="186"/>
      <c r="N1620" s="186"/>
      <c r="O1620" s="186"/>
      <c r="P1620" s="186"/>
      <c r="Q1620" s="182"/>
      <c r="R1620" s="182"/>
      <c r="S1620" s="182"/>
      <c r="T1620" s="186"/>
      <c r="U1620" s="186"/>
      <c r="AA1620" s="35"/>
      <c r="AB1620" s="35"/>
    </row>
    <row r="1621" spans="2:28" x14ac:dyDescent="0.2">
      <c r="B1621" s="182"/>
      <c r="C1621" s="182"/>
      <c r="D1621" s="182"/>
      <c r="E1621" s="182"/>
      <c r="F1621" s="182"/>
      <c r="I1621" s="40"/>
      <c r="J1621" s="186"/>
      <c r="K1621" s="186"/>
      <c r="L1621" s="186"/>
      <c r="M1621" s="186"/>
      <c r="N1621" s="186"/>
      <c r="O1621" s="186"/>
      <c r="P1621" s="186"/>
      <c r="Q1621" s="182"/>
      <c r="R1621" s="182"/>
      <c r="S1621" s="182"/>
      <c r="T1621" s="186"/>
      <c r="U1621" s="186"/>
      <c r="AA1621" s="35"/>
      <c r="AB1621" s="35"/>
    </row>
    <row r="1622" spans="2:28" x14ac:dyDescent="0.2">
      <c r="B1622" s="182"/>
      <c r="C1622" s="182"/>
      <c r="D1622" s="182"/>
      <c r="E1622" s="182"/>
      <c r="F1622" s="182"/>
      <c r="I1622" s="40"/>
      <c r="J1622" s="186"/>
      <c r="K1622" s="186"/>
      <c r="L1622" s="186"/>
      <c r="M1622" s="186"/>
      <c r="N1622" s="186"/>
      <c r="O1622" s="186"/>
      <c r="P1622" s="186"/>
      <c r="Q1622" s="182"/>
      <c r="R1622" s="182"/>
      <c r="S1622" s="182"/>
      <c r="T1622" s="186"/>
      <c r="U1622" s="186"/>
      <c r="AA1622" s="35"/>
      <c r="AB1622" s="35"/>
    </row>
    <row r="1623" spans="2:28" x14ac:dyDescent="0.2">
      <c r="B1623" s="182"/>
      <c r="C1623" s="182"/>
      <c r="D1623" s="182"/>
      <c r="E1623" s="182"/>
      <c r="F1623" s="182"/>
      <c r="I1623" s="40"/>
      <c r="J1623" s="186"/>
      <c r="K1623" s="186"/>
      <c r="L1623" s="186"/>
      <c r="M1623" s="186"/>
      <c r="N1623" s="186"/>
      <c r="O1623" s="186"/>
      <c r="P1623" s="186"/>
      <c r="Q1623" s="182"/>
      <c r="R1623" s="182"/>
      <c r="S1623" s="182"/>
      <c r="T1623" s="186"/>
      <c r="U1623" s="186"/>
      <c r="AA1623" s="35"/>
      <c r="AB1623" s="35"/>
    </row>
    <row r="1624" spans="2:28" x14ac:dyDescent="0.2">
      <c r="B1624" s="182"/>
      <c r="C1624" s="182"/>
      <c r="D1624" s="182"/>
      <c r="E1624" s="182"/>
      <c r="F1624" s="182"/>
      <c r="I1624" s="40"/>
      <c r="J1624" s="186"/>
      <c r="K1624" s="186"/>
      <c r="L1624" s="186"/>
      <c r="M1624" s="186"/>
      <c r="N1624" s="186"/>
      <c r="O1624" s="186"/>
      <c r="P1624" s="186"/>
      <c r="Q1624" s="182"/>
      <c r="R1624" s="182"/>
      <c r="S1624" s="182"/>
      <c r="T1624" s="186"/>
      <c r="U1624" s="186"/>
      <c r="AA1624" s="35"/>
      <c r="AB1624" s="35"/>
    </row>
    <row r="1625" spans="2:28" x14ac:dyDescent="0.2">
      <c r="B1625" s="182"/>
      <c r="C1625" s="182"/>
      <c r="D1625" s="182"/>
      <c r="E1625" s="182"/>
      <c r="F1625" s="182"/>
      <c r="I1625" s="40"/>
      <c r="J1625" s="186"/>
      <c r="K1625" s="186"/>
      <c r="L1625" s="186"/>
      <c r="M1625" s="186"/>
      <c r="N1625" s="186"/>
      <c r="O1625" s="186"/>
      <c r="P1625" s="186"/>
      <c r="Q1625" s="182"/>
      <c r="R1625" s="182"/>
      <c r="S1625" s="182"/>
      <c r="T1625" s="186"/>
      <c r="U1625" s="186"/>
      <c r="AA1625" s="35"/>
      <c r="AB1625" s="35"/>
    </row>
    <row r="1626" spans="2:28" x14ac:dyDescent="0.2">
      <c r="B1626" s="182"/>
      <c r="C1626" s="182"/>
      <c r="D1626" s="182"/>
      <c r="E1626" s="182"/>
      <c r="F1626" s="182"/>
      <c r="I1626" s="40"/>
      <c r="J1626" s="186"/>
      <c r="K1626" s="186"/>
      <c r="L1626" s="186"/>
      <c r="M1626" s="186"/>
      <c r="N1626" s="186"/>
      <c r="O1626" s="186"/>
      <c r="P1626" s="186"/>
      <c r="Q1626" s="182"/>
      <c r="R1626" s="182"/>
      <c r="S1626" s="182"/>
      <c r="T1626" s="186"/>
      <c r="U1626" s="186"/>
      <c r="AA1626" s="35"/>
      <c r="AB1626" s="35"/>
    </row>
    <row r="1627" spans="2:28" x14ac:dyDescent="0.2">
      <c r="B1627" s="182"/>
      <c r="C1627" s="182"/>
      <c r="D1627" s="182"/>
      <c r="E1627" s="182"/>
      <c r="F1627" s="182"/>
      <c r="I1627" s="40"/>
      <c r="J1627" s="186"/>
      <c r="K1627" s="186"/>
      <c r="L1627" s="186"/>
      <c r="M1627" s="186"/>
      <c r="N1627" s="186"/>
      <c r="O1627" s="186"/>
      <c r="P1627" s="186"/>
      <c r="Q1627" s="182"/>
      <c r="R1627" s="182"/>
      <c r="S1627" s="182"/>
      <c r="T1627" s="186"/>
      <c r="U1627" s="186"/>
      <c r="AA1627" s="35"/>
      <c r="AB1627" s="35"/>
    </row>
    <row r="1628" spans="2:28" x14ac:dyDescent="0.2">
      <c r="B1628" s="182"/>
      <c r="C1628" s="182"/>
      <c r="D1628" s="182"/>
      <c r="E1628" s="182"/>
      <c r="F1628" s="182"/>
      <c r="I1628" s="40"/>
      <c r="J1628" s="186"/>
      <c r="K1628" s="186"/>
      <c r="L1628" s="186"/>
      <c r="M1628" s="186"/>
      <c r="N1628" s="186"/>
      <c r="O1628" s="186"/>
      <c r="P1628" s="186"/>
      <c r="Q1628" s="182"/>
      <c r="R1628" s="182"/>
      <c r="S1628" s="182"/>
      <c r="T1628" s="186"/>
      <c r="U1628" s="186"/>
      <c r="AA1628" s="35"/>
      <c r="AB1628" s="35"/>
    </row>
    <row r="1629" spans="2:28" x14ac:dyDescent="0.2">
      <c r="B1629" s="182"/>
      <c r="C1629" s="182"/>
      <c r="D1629" s="182"/>
      <c r="E1629" s="182"/>
      <c r="F1629" s="182"/>
      <c r="I1629" s="40"/>
      <c r="J1629" s="186"/>
      <c r="K1629" s="186"/>
      <c r="L1629" s="186"/>
      <c r="M1629" s="186"/>
      <c r="N1629" s="186"/>
      <c r="O1629" s="186"/>
      <c r="P1629" s="186"/>
      <c r="Q1629" s="182"/>
      <c r="R1629" s="182"/>
      <c r="S1629" s="182"/>
      <c r="T1629" s="186"/>
      <c r="U1629" s="186"/>
      <c r="AA1629" s="35"/>
      <c r="AB1629" s="35"/>
    </row>
    <row r="1630" spans="2:28" x14ac:dyDescent="0.2">
      <c r="B1630" s="182"/>
      <c r="C1630" s="182"/>
      <c r="D1630" s="182"/>
      <c r="E1630" s="182"/>
      <c r="F1630" s="182"/>
      <c r="I1630" s="40"/>
      <c r="J1630" s="186"/>
      <c r="K1630" s="186"/>
      <c r="L1630" s="186"/>
      <c r="M1630" s="186"/>
      <c r="N1630" s="186"/>
      <c r="O1630" s="186"/>
      <c r="P1630" s="186"/>
      <c r="Q1630" s="182"/>
      <c r="R1630" s="182"/>
      <c r="S1630" s="182"/>
      <c r="T1630" s="186"/>
      <c r="U1630" s="186"/>
      <c r="AA1630" s="35"/>
      <c r="AB1630" s="35"/>
    </row>
    <row r="1631" spans="2:28" x14ac:dyDescent="0.2">
      <c r="B1631" s="182"/>
      <c r="C1631" s="182"/>
      <c r="D1631" s="182"/>
      <c r="E1631" s="182"/>
      <c r="F1631" s="182"/>
      <c r="I1631" s="40"/>
      <c r="J1631" s="186"/>
      <c r="K1631" s="186"/>
      <c r="L1631" s="186"/>
      <c r="M1631" s="186"/>
      <c r="N1631" s="186"/>
      <c r="O1631" s="186"/>
      <c r="P1631" s="186"/>
      <c r="Q1631" s="182"/>
      <c r="R1631" s="182"/>
      <c r="S1631" s="182"/>
      <c r="T1631" s="186"/>
      <c r="U1631" s="186"/>
      <c r="AA1631" s="35"/>
      <c r="AB1631" s="35"/>
    </row>
    <row r="1632" spans="2:28" x14ac:dyDescent="0.2">
      <c r="B1632" s="182"/>
      <c r="C1632" s="182"/>
      <c r="D1632" s="182"/>
      <c r="E1632" s="182"/>
      <c r="F1632" s="182"/>
      <c r="I1632" s="40"/>
      <c r="J1632" s="186"/>
      <c r="K1632" s="186"/>
      <c r="L1632" s="186"/>
      <c r="M1632" s="186"/>
      <c r="N1632" s="186"/>
      <c r="O1632" s="186"/>
      <c r="P1632" s="186"/>
      <c r="Q1632" s="182"/>
      <c r="R1632" s="182"/>
      <c r="S1632" s="182"/>
      <c r="T1632" s="186"/>
      <c r="U1632" s="186"/>
      <c r="AA1632" s="35"/>
      <c r="AB1632" s="35"/>
    </row>
    <row r="1633" spans="2:28" x14ac:dyDescent="0.2">
      <c r="B1633" s="182"/>
      <c r="C1633" s="182"/>
      <c r="D1633" s="182"/>
      <c r="E1633" s="182"/>
      <c r="F1633" s="182"/>
      <c r="I1633" s="40"/>
      <c r="J1633" s="186"/>
      <c r="K1633" s="186"/>
      <c r="L1633" s="186"/>
      <c r="M1633" s="186"/>
      <c r="N1633" s="186"/>
      <c r="O1633" s="186"/>
      <c r="P1633" s="186"/>
      <c r="Q1633" s="182"/>
      <c r="R1633" s="182"/>
      <c r="S1633" s="182"/>
      <c r="T1633" s="186"/>
      <c r="U1633" s="186"/>
      <c r="AA1633" s="35"/>
      <c r="AB1633" s="35"/>
    </row>
    <row r="1634" spans="2:28" x14ac:dyDescent="0.2">
      <c r="B1634" s="182"/>
      <c r="C1634" s="182"/>
      <c r="D1634" s="182"/>
      <c r="E1634" s="182"/>
      <c r="F1634" s="182"/>
      <c r="I1634" s="40"/>
      <c r="J1634" s="186"/>
      <c r="K1634" s="186"/>
      <c r="L1634" s="186"/>
      <c r="M1634" s="186"/>
      <c r="N1634" s="186"/>
      <c r="O1634" s="186"/>
      <c r="P1634" s="186"/>
      <c r="Q1634" s="182"/>
      <c r="R1634" s="182"/>
      <c r="S1634" s="182"/>
      <c r="T1634" s="186"/>
      <c r="U1634" s="186"/>
      <c r="AA1634" s="35"/>
      <c r="AB1634" s="35"/>
    </row>
    <row r="1635" spans="2:28" x14ac:dyDescent="0.2">
      <c r="B1635" s="182"/>
      <c r="C1635" s="182"/>
      <c r="D1635" s="182"/>
      <c r="E1635" s="182"/>
      <c r="F1635" s="182"/>
      <c r="I1635" s="40"/>
      <c r="J1635" s="186"/>
      <c r="K1635" s="186"/>
      <c r="L1635" s="186"/>
      <c r="M1635" s="186"/>
      <c r="N1635" s="186"/>
      <c r="O1635" s="186"/>
      <c r="P1635" s="186"/>
      <c r="Q1635" s="182"/>
      <c r="R1635" s="182"/>
      <c r="S1635" s="182"/>
      <c r="T1635" s="186"/>
      <c r="U1635" s="186"/>
      <c r="AA1635" s="35"/>
      <c r="AB1635" s="35"/>
    </row>
    <row r="1636" spans="2:28" x14ac:dyDescent="0.2">
      <c r="B1636" s="182"/>
      <c r="C1636" s="182"/>
      <c r="D1636" s="182"/>
      <c r="E1636" s="182"/>
      <c r="F1636" s="182"/>
      <c r="I1636" s="40"/>
      <c r="J1636" s="186"/>
      <c r="K1636" s="186"/>
      <c r="L1636" s="186"/>
      <c r="M1636" s="186"/>
      <c r="N1636" s="186"/>
      <c r="O1636" s="186"/>
      <c r="P1636" s="186"/>
      <c r="Q1636" s="182"/>
      <c r="R1636" s="182"/>
      <c r="S1636" s="182"/>
      <c r="T1636" s="186"/>
      <c r="U1636" s="186"/>
      <c r="AA1636" s="35"/>
      <c r="AB1636" s="35"/>
    </row>
    <row r="1637" spans="2:28" x14ac:dyDescent="0.2">
      <c r="B1637" s="182"/>
      <c r="C1637" s="182"/>
      <c r="D1637" s="182"/>
      <c r="E1637" s="182"/>
      <c r="F1637" s="182"/>
      <c r="I1637" s="40"/>
      <c r="J1637" s="186"/>
      <c r="K1637" s="186"/>
      <c r="L1637" s="186"/>
      <c r="M1637" s="186"/>
      <c r="N1637" s="186"/>
      <c r="O1637" s="186"/>
      <c r="P1637" s="186"/>
      <c r="Q1637" s="182"/>
      <c r="R1637" s="182"/>
      <c r="S1637" s="182"/>
      <c r="T1637" s="186"/>
      <c r="U1637" s="186"/>
      <c r="AA1637" s="35"/>
      <c r="AB1637" s="35"/>
    </row>
    <row r="1638" spans="2:28" x14ac:dyDescent="0.2">
      <c r="B1638" s="182"/>
      <c r="C1638" s="182"/>
      <c r="D1638" s="182"/>
      <c r="E1638" s="182"/>
      <c r="F1638" s="182"/>
      <c r="I1638" s="40"/>
      <c r="J1638" s="186"/>
      <c r="K1638" s="186"/>
      <c r="L1638" s="186"/>
      <c r="M1638" s="186"/>
      <c r="N1638" s="186"/>
      <c r="O1638" s="186"/>
      <c r="P1638" s="186"/>
      <c r="Q1638" s="182"/>
      <c r="R1638" s="182"/>
      <c r="S1638" s="182"/>
      <c r="T1638" s="186"/>
      <c r="U1638" s="186"/>
      <c r="AA1638" s="35"/>
      <c r="AB1638" s="35"/>
    </row>
    <row r="1639" spans="2:28" x14ac:dyDescent="0.2">
      <c r="B1639" s="182"/>
      <c r="C1639" s="182"/>
      <c r="D1639" s="182"/>
      <c r="E1639" s="182"/>
      <c r="F1639" s="182"/>
      <c r="I1639" s="40"/>
      <c r="J1639" s="186"/>
      <c r="K1639" s="186"/>
      <c r="L1639" s="186"/>
      <c r="M1639" s="186"/>
      <c r="N1639" s="186"/>
      <c r="O1639" s="186"/>
      <c r="P1639" s="186"/>
      <c r="Q1639" s="182"/>
      <c r="R1639" s="182"/>
      <c r="S1639" s="182"/>
      <c r="T1639" s="186"/>
      <c r="U1639" s="186"/>
      <c r="AA1639" s="35"/>
      <c r="AB1639" s="35"/>
    </row>
    <row r="1640" spans="2:28" x14ac:dyDescent="0.2">
      <c r="B1640" s="182"/>
      <c r="C1640" s="182"/>
      <c r="D1640" s="182"/>
      <c r="E1640" s="182"/>
      <c r="F1640" s="182"/>
      <c r="I1640" s="40"/>
      <c r="J1640" s="186"/>
      <c r="K1640" s="186"/>
      <c r="L1640" s="186"/>
      <c r="M1640" s="186"/>
      <c r="N1640" s="186"/>
      <c r="O1640" s="186"/>
      <c r="P1640" s="186"/>
      <c r="Q1640" s="182"/>
      <c r="R1640" s="182"/>
      <c r="S1640" s="182"/>
      <c r="T1640" s="186"/>
      <c r="U1640" s="186"/>
      <c r="AA1640" s="35"/>
      <c r="AB1640" s="35"/>
    </row>
    <row r="1641" spans="2:28" x14ac:dyDescent="0.2">
      <c r="B1641" s="182"/>
      <c r="C1641" s="182"/>
      <c r="D1641" s="182"/>
      <c r="E1641" s="182"/>
      <c r="F1641" s="182"/>
      <c r="I1641" s="40"/>
      <c r="J1641" s="186"/>
      <c r="K1641" s="186"/>
      <c r="L1641" s="186"/>
      <c r="M1641" s="186"/>
      <c r="N1641" s="186"/>
      <c r="O1641" s="186"/>
      <c r="P1641" s="186"/>
      <c r="Q1641" s="182"/>
      <c r="R1641" s="182"/>
      <c r="S1641" s="182"/>
      <c r="T1641" s="186"/>
      <c r="U1641" s="186"/>
      <c r="AA1641" s="35"/>
      <c r="AB1641" s="35"/>
    </row>
    <row r="1642" spans="2:28" x14ac:dyDescent="0.2">
      <c r="B1642" s="182"/>
      <c r="C1642" s="182"/>
      <c r="D1642" s="182"/>
      <c r="E1642" s="182"/>
      <c r="F1642" s="182"/>
      <c r="I1642" s="40"/>
      <c r="J1642" s="186"/>
      <c r="K1642" s="186"/>
      <c r="L1642" s="186"/>
      <c r="M1642" s="186"/>
      <c r="N1642" s="186"/>
      <c r="O1642" s="186"/>
      <c r="P1642" s="186"/>
      <c r="Q1642" s="182"/>
      <c r="R1642" s="182"/>
      <c r="S1642" s="182"/>
      <c r="T1642" s="186"/>
      <c r="U1642" s="186"/>
      <c r="AA1642" s="35"/>
      <c r="AB1642" s="35"/>
    </row>
    <row r="1643" spans="2:28" x14ac:dyDescent="0.2">
      <c r="B1643" s="182"/>
      <c r="C1643" s="182"/>
      <c r="D1643" s="182"/>
      <c r="E1643" s="182"/>
      <c r="F1643" s="182"/>
      <c r="I1643" s="40"/>
      <c r="J1643" s="186"/>
      <c r="K1643" s="186"/>
      <c r="L1643" s="186"/>
      <c r="M1643" s="186"/>
      <c r="N1643" s="186"/>
      <c r="O1643" s="186"/>
      <c r="P1643" s="186"/>
      <c r="Q1643" s="182"/>
      <c r="R1643" s="182"/>
      <c r="S1643" s="182"/>
      <c r="T1643" s="186"/>
      <c r="U1643" s="186"/>
      <c r="AA1643" s="35"/>
      <c r="AB1643" s="35"/>
    </row>
    <row r="1644" spans="2:28" x14ac:dyDescent="0.2">
      <c r="B1644" s="182"/>
      <c r="C1644" s="182"/>
      <c r="D1644" s="182"/>
      <c r="E1644" s="182"/>
      <c r="F1644" s="182"/>
      <c r="I1644" s="40"/>
      <c r="J1644" s="186"/>
      <c r="K1644" s="186"/>
      <c r="L1644" s="186"/>
      <c r="M1644" s="186"/>
      <c r="N1644" s="186"/>
      <c r="O1644" s="186"/>
      <c r="P1644" s="186"/>
      <c r="Q1644" s="182"/>
      <c r="R1644" s="182"/>
      <c r="S1644" s="182"/>
      <c r="T1644" s="186"/>
      <c r="U1644" s="186"/>
      <c r="AA1644" s="35"/>
      <c r="AB1644" s="35"/>
    </row>
    <row r="1645" spans="2:28" x14ac:dyDescent="0.2">
      <c r="B1645" s="182"/>
      <c r="C1645" s="182"/>
      <c r="D1645" s="182"/>
      <c r="E1645" s="182"/>
      <c r="F1645" s="182"/>
      <c r="I1645" s="40"/>
      <c r="J1645" s="186"/>
      <c r="K1645" s="186"/>
      <c r="L1645" s="186"/>
      <c r="M1645" s="186"/>
      <c r="N1645" s="186"/>
      <c r="O1645" s="186"/>
      <c r="P1645" s="186"/>
      <c r="Q1645" s="182"/>
      <c r="R1645" s="182"/>
      <c r="S1645" s="182"/>
      <c r="T1645" s="186"/>
      <c r="U1645" s="186"/>
      <c r="AA1645" s="35"/>
      <c r="AB1645" s="35"/>
    </row>
    <row r="1646" spans="2:28" x14ac:dyDescent="0.2">
      <c r="B1646" s="182"/>
      <c r="C1646" s="182"/>
      <c r="D1646" s="182"/>
      <c r="E1646" s="182"/>
      <c r="F1646" s="182"/>
      <c r="I1646" s="40"/>
      <c r="J1646" s="186"/>
      <c r="K1646" s="186"/>
      <c r="L1646" s="186"/>
      <c r="M1646" s="186"/>
      <c r="N1646" s="186"/>
      <c r="O1646" s="186"/>
      <c r="P1646" s="186"/>
      <c r="Q1646" s="182"/>
      <c r="R1646" s="182"/>
      <c r="S1646" s="182"/>
      <c r="T1646" s="186"/>
      <c r="U1646" s="186"/>
      <c r="AA1646" s="35"/>
      <c r="AB1646" s="35"/>
    </row>
    <row r="1647" spans="2:28" x14ac:dyDescent="0.2">
      <c r="B1647" s="182"/>
      <c r="C1647" s="182"/>
      <c r="D1647" s="182"/>
      <c r="E1647" s="182"/>
      <c r="F1647" s="182"/>
      <c r="I1647" s="40"/>
      <c r="J1647" s="186"/>
      <c r="K1647" s="186"/>
      <c r="L1647" s="186"/>
      <c r="M1647" s="186"/>
      <c r="N1647" s="186"/>
      <c r="O1647" s="186"/>
      <c r="P1647" s="186"/>
      <c r="Q1647" s="182"/>
      <c r="R1647" s="182"/>
      <c r="S1647" s="182"/>
      <c r="T1647" s="186"/>
      <c r="U1647" s="186"/>
      <c r="AA1647" s="35"/>
      <c r="AB1647" s="35"/>
    </row>
    <row r="1648" spans="2:28" x14ac:dyDescent="0.2">
      <c r="B1648" s="182"/>
      <c r="C1648" s="182"/>
      <c r="D1648" s="182"/>
      <c r="E1648" s="182"/>
      <c r="F1648" s="182"/>
      <c r="I1648" s="40"/>
      <c r="J1648" s="186"/>
      <c r="K1648" s="186"/>
      <c r="L1648" s="186"/>
      <c r="M1648" s="186"/>
      <c r="N1648" s="186"/>
      <c r="O1648" s="186"/>
      <c r="P1648" s="186"/>
      <c r="Q1648" s="182"/>
      <c r="R1648" s="182"/>
      <c r="S1648" s="182"/>
      <c r="T1648" s="186"/>
      <c r="U1648" s="186"/>
      <c r="AA1648" s="35"/>
      <c r="AB1648" s="35"/>
    </row>
    <row r="1649" spans="2:28" x14ac:dyDescent="0.2">
      <c r="B1649" s="182"/>
      <c r="C1649" s="182"/>
      <c r="D1649" s="182"/>
      <c r="E1649" s="182"/>
      <c r="F1649" s="182"/>
      <c r="I1649" s="40"/>
      <c r="J1649" s="186"/>
      <c r="K1649" s="186"/>
      <c r="L1649" s="186"/>
      <c r="M1649" s="186"/>
      <c r="N1649" s="186"/>
      <c r="O1649" s="186"/>
      <c r="P1649" s="186"/>
      <c r="Q1649" s="182"/>
      <c r="R1649" s="182"/>
      <c r="S1649" s="182"/>
      <c r="T1649" s="186"/>
      <c r="U1649" s="186"/>
      <c r="AA1649" s="35"/>
      <c r="AB1649" s="35"/>
    </row>
    <row r="1650" spans="2:28" x14ac:dyDescent="0.2">
      <c r="B1650" s="182"/>
      <c r="C1650" s="182"/>
      <c r="D1650" s="182"/>
      <c r="E1650" s="182"/>
      <c r="F1650" s="182"/>
      <c r="I1650" s="40"/>
      <c r="J1650" s="186"/>
      <c r="K1650" s="186"/>
      <c r="L1650" s="186"/>
      <c r="M1650" s="186"/>
      <c r="N1650" s="186"/>
      <c r="O1650" s="186"/>
      <c r="P1650" s="186"/>
      <c r="Q1650" s="182"/>
      <c r="R1650" s="182"/>
      <c r="S1650" s="182"/>
      <c r="T1650" s="186"/>
      <c r="U1650" s="186"/>
      <c r="AA1650" s="35"/>
      <c r="AB1650" s="35"/>
    </row>
    <row r="1651" spans="2:28" x14ac:dyDescent="0.2">
      <c r="B1651" s="182"/>
      <c r="C1651" s="182"/>
      <c r="D1651" s="182"/>
      <c r="E1651" s="182"/>
      <c r="F1651" s="182"/>
      <c r="I1651" s="40"/>
      <c r="J1651" s="186"/>
      <c r="K1651" s="186"/>
      <c r="L1651" s="186"/>
      <c r="M1651" s="186"/>
      <c r="N1651" s="186"/>
      <c r="O1651" s="186"/>
      <c r="P1651" s="186"/>
      <c r="Q1651" s="182"/>
      <c r="R1651" s="182"/>
      <c r="S1651" s="182"/>
      <c r="T1651" s="186"/>
      <c r="U1651" s="186"/>
      <c r="AA1651" s="35"/>
      <c r="AB1651" s="35"/>
    </row>
    <row r="1652" spans="2:28" x14ac:dyDescent="0.2">
      <c r="B1652" s="182"/>
      <c r="C1652" s="182"/>
      <c r="D1652" s="182"/>
      <c r="E1652" s="182"/>
      <c r="F1652" s="182"/>
      <c r="I1652" s="40"/>
      <c r="J1652" s="186"/>
      <c r="K1652" s="186"/>
      <c r="L1652" s="186"/>
      <c r="M1652" s="186"/>
      <c r="N1652" s="186"/>
      <c r="O1652" s="186"/>
      <c r="P1652" s="186"/>
      <c r="Q1652" s="182"/>
      <c r="R1652" s="182"/>
      <c r="S1652" s="182"/>
      <c r="T1652" s="186"/>
      <c r="U1652" s="186"/>
      <c r="AA1652" s="35"/>
      <c r="AB1652" s="35"/>
    </row>
    <row r="1653" spans="2:28" x14ac:dyDescent="0.2">
      <c r="B1653" s="182"/>
      <c r="C1653" s="182"/>
      <c r="D1653" s="182"/>
      <c r="E1653" s="182"/>
      <c r="F1653" s="182"/>
      <c r="I1653" s="40"/>
      <c r="J1653" s="186"/>
      <c r="K1653" s="186"/>
      <c r="L1653" s="186"/>
      <c r="M1653" s="186"/>
      <c r="N1653" s="186"/>
      <c r="O1653" s="186"/>
      <c r="P1653" s="186"/>
      <c r="Q1653" s="182"/>
      <c r="R1653" s="182"/>
      <c r="S1653" s="182"/>
      <c r="T1653" s="186"/>
      <c r="U1653" s="186"/>
      <c r="AA1653" s="35"/>
      <c r="AB1653" s="35"/>
    </row>
    <row r="1654" spans="2:28" x14ac:dyDescent="0.2">
      <c r="B1654" s="182"/>
      <c r="C1654" s="182"/>
      <c r="D1654" s="182"/>
      <c r="E1654" s="182"/>
      <c r="F1654" s="182"/>
      <c r="I1654" s="40"/>
      <c r="J1654" s="186"/>
      <c r="K1654" s="186"/>
      <c r="L1654" s="186"/>
      <c r="M1654" s="186"/>
      <c r="N1654" s="186"/>
      <c r="O1654" s="186"/>
      <c r="P1654" s="186"/>
      <c r="Q1654" s="182"/>
      <c r="R1654" s="182"/>
      <c r="S1654" s="182"/>
      <c r="T1654" s="186"/>
      <c r="U1654" s="186"/>
      <c r="AA1654" s="35"/>
      <c r="AB1654" s="35"/>
    </row>
    <row r="1655" spans="2:28" x14ac:dyDescent="0.2">
      <c r="B1655" s="182"/>
      <c r="C1655" s="182"/>
      <c r="D1655" s="182"/>
      <c r="E1655" s="182"/>
      <c r="F1655" s="182"/>
      <c r="I1655" s="40"/>
      <c r="J1655" s="186"/>
      <c r="K1655" s="186"/>
      <c r="L1655" s="186"/>
      <c r="M1655" s="186"/>
      <c r="N1655" s="186"/>
      <c r="O1655" s="186"/>
      <c r="P1655" s="186"/>
      <c r="Q1655" s="182"/>
      <c r="R1655" s="182"/>
      <c r="S1655" s="182"/>
      <c r="T1655" s="186"/>
      <c r="U1655" s="186"/>
      <c r="AA1655" s="35"/>
      <c r="AB1655" s="35"/>
    </row>
    <row r="1656" spans="2:28" x14ac:dyDescent="0.2">
      <c r="B1656" s="182"/>
      <c r="C1656" s="182"/>
      <c r="D1656" s="182"/>
      <c r="E1656" s="182"/>
      <c r="F1656" s="182"/>
      <c r="I1656" s="40"/>
      <c r="J1656" s="186"/>
      <c r="K1656" s="186"/>
      <c r="L1656" s="186"/>
      <c r="M1656" s="186"/>
      <c r="N1656" s="186"/>
      <c r="O1656" s="186"/>
      <c r="P1656" s="186"/>
      <c r="Q1656" s="182"/>
      <c r="R1656" s="182"/>
      <c r="S1656" s="182"/>
      <c r="T1656" s="186"/>
      <c r="U1656" s="186"/>
      <c r="AA1656" s="35"/>
      <c r="AB1656" s="35"/>
    </row>
    <row r="1657" spans="2:28" x14ac:dyDescent="0.2">
      <c r="B1657" s="182"/>
      <c r="C1657" s="182"/>
      <c r="D1657" s="182"/>
      <c r="E1657" s="182"/>
      <c r="F1657" s="182"/>
      <c r="I1657" s="40"/>
      <c r="J1657" s="186"/>
      <c r="K1657" s="186"/>
      <c r="L1657" s="186"/>
      <c r="M1657" s="186"/>
      <c r="N1657" s="186"/>
      <c r="O1657" s="186"/>
      <c r="P1657" s="186"/>
      <c r="Q1657" s="182"/>
      <c r="R1657" s="182"/>
      <c r="S1657" s="182"/>
      <c r="T1657" s="186"/>
      <c r="U1657" s="186"/>
      <c r="AA1657" s="35"/>
      <c r="AB1657" s="35"/>
    </row>
    <row r="1658" spans="2:28" x14ac:dyDescent="0.2">
      <c r="B1658" s="182"/>
      <c r="C1658" s="182"/>
      <c r="D1658" s="182"/>
      <c r="E1658" s="182"/>
      <c r="F1658" s="182"/>
      <c r="I1658" s="40"/>
      <c r="J1658" s="186"/>
      <c r="K1658" s="186"/>
      <c r="L1658" s="186"/>
      <c r="M1658" s="186"/>
      <c r="N1658" s="186"/>
      <c r="O1658" s="186"/>
      <c r="P1658" s="186"/>
      <c r="Q1658" s="182"/>
      <c r="R1658" s="182"/>
      <c r="S1658" s="182"/>
      <c r="T1658" s="186"/>
      <c r="U1658" s="186"/>
      <c r="AA1658" s="35"/>
      <c r="AB1658" s="35"/>
    </row>
    <row r="1659" spans="2:28" x14ac:dyDescent="0.2">
      <c r="B1659" s="182"/>
      <c r="C1659" s="182"/>
      <c r="D1659" s="182"/>
      <c r="E1659" s="182"/>
      <c r="F1659" s="182"/>
      <c r="I1659" s="40"/>
      <c r="J1659" s="186"/>
      <c r="K1659" s="186"/>
      <c r="L1659" s="186"/>
      <c r="M1659" s="186"/>
      <c r="N1659" s="186"/>
      <c r="O1659" s="186"/>
      <c r="P1659" s="186"/>
      <c r="Q1659" s="182"/>
      <c r="R1659" s="182"/>
      <c r="S1659" s="182"/>
      <c r="T1659" s="186"/>
      <c r="U1659" s="186"/>
      <c r="AA1659" s="35"/>
      <c r="AB1659" s="35"/>
    </row>
    <row r="1660" spans="2:28" x14ac:dyDescent="0.2">
      <c r="B1660" s="182"/>
      <c r="C1660" s="182"/>
      <c r="D1660" s="182"/>
      <c r="E1660" s="182"/>
      <c r="F1660" s="182"/>
      <c r="I1660" s="40"/>
      <c r="J1660" s="186"/>
      <c r="K1660" s="186"/>
      <c r="L1660" s="186"/>
      <c r="M1660" s="186"/>
      <c r="N1660" s="186"/>
      <c r="O1660" s="186"/>
      <c r="P1660" s="186"/>
      <c r="Q1660" s="182"/>
      <c r="R1660" s="182"/>
      <c r="S1660" s="182"/>
      <c r="T1660" s="186"/>
      <c r="U1660" s="186"/>
      <c r="AA1660" s="35"/>
      <c r="AB1660" s="35"/>
    </row>
    <row r="1661" spans="2:28" x14ac:dyDescent="0.2">
      <c r="B1661" s="182"/>
      <c r="C1661" s="182"/>
      <c r="D1661" s="182"/>
      <c r="E1661" s="182"/>
      <c r="F1661" s="182"/>
      <c r="I1661" s="40"/>
      <c r="J1661" s="186"/>
      <c r="K1661" s="186"/>
      <c r="L1661" s="186"/>
      <c r="M1661" s="186"/>
      <c r="N1661" s="186"/>
      <c r="O1661" s="186"/>
      <c r="P1661" s="186"/>
      <c r="Q1661" s="182"/>
      <c r="R1661" s="182"/>
      <c r="S1661" s="182"/>
      <c r="T1661" s="186"/>
      <c r="U1661" s="186"/>
      <c r="AA1661" s="35"/>
      <c r="AB1661" s="35"/>
    </row>
    <row r="1662" spans="2:28" x14ac:dyDescent="0.2">
      <c r="B1662" s="182"/>
      <c r="C1662" s="182"/>
      <c r="D1662" s="182"/>
      <c r="E1662" s="182"/>
      <c r="F1662" s="182"/>
      <c r="I1662" s="40"/>
      <c r="J1662" s="186"/>
      <c r="K1662" s="186"/>
      <c r="L1662" s="186"/>
      <c r="M1662" s="186"/>
      <c r="N1662" s="186"/>
      <c r="O1662" s="186"/>
      <c r="P1662" s="186"/>
      <c r="Q1662" s="182"/>
      <c r="R1662" s="182"/>
      <c r="S1662" s="182"/>
      <c r="T1662" s="186"/>
      <c r="U1662" s="186"/>
      <c r="AA1662" s="35"/>
      <c r="AB1662" s="35"/>
    </row>
    <row r="1663" spans="2:28" x14ac:dyDescent="0.2">
      <c r="B1663" s="182"/>
      <c r="C1663" s="182"/>
      <c r="D1663" s="182"/>
      <c r="E1663" s="182"/>
      <c r="F1663" s="182"/>
      <c r="I1663" s="40"/>
      <c r="J1663" s="186"/>
      <c r="K1663" s="186"/>
      <c r="L1663" s="186"/>
      <c r="M1663" s="186"/>
      <c r="N1663" s="186"/>
      <c r="O1663" s="186"/>
      <c r="P1663" s="186"/>
      <c r="Q1663" s="182"/>
      <c r="R1663" s="182"/>
      <c r="S1663" s="182"/>
      <c r="T1663" s="186"/>
      <c r="U1663" s="186"/>
      <c r="AA1663" s="35"/>
      <c r="AB1663" s="35"/>
    </row>
    <row r="1664" spans="2:28" x14ac:dyDescent="0.2">
      <c r="B1664" s="182"/>
      <c r="C1664" s="182"/>
      <c r="D1664" s="182"/>
      <c r="E1664" s="182"/>
      <c r="F1664" s="182"/>
      <c r="I1664" s="40"/>
      <c r="J1664" s="186"/>
      <c r="K1664" s="186"/>
      <c r="L1664" s="186"/>
      <c r="M1664" s="186"/>
      <c r="N1664" s="186"/>
      <c r="O1664" s="186"/>
      <c r="P1664" s="186"/>
      <c r="Q1664" s="182"/>
      <c r="R1664" s="182"/>
      <c r="S1664" s="182"/>
      <c r="T1664" s="186"/>
      <c r="U1664" s="186"/>
      <c r="AA1664" s="35"/>
      <c r="AB1664" s="35"/>
    </row>
    <row r="1665" spans="2:28" x14ac:dyDescent="0.2">
      <c r="B1665" s="182"/>
      <c r="C1665" s="182"/>
      <c r="D1665" s="182"/>
      <c r="E1665" s="182"/>
      <c r="F1665" s="182"/>
      <c r="I1665" s="40"/>
      <c r="J1665" s="186"/>
      <c r="K1665" s="186"/>
      <c r="L1665" s="186"/>
      <c r="M1665" s="186"/>
      <c r="N1665" s="186"/>
      <c r="O1665" s="186"/>
      <c r="P1665" s="186"/>
      <c r="Q1665" s="182"/>
      <c r="R1665" s="182"/>
      <c r="S1665" s="182"/>
      <c r="T1665" s="186"/>
      <c r="U1665" s="186"/>
      <c r="AA1665" s="35"/>
      <c r="AB1665" s="35"/>
    </row>
    <row r="1666" spans="2:28" x14ac:dyDescent="0.2">
      <c r="B1666" s="182"/>
      <c r="C1666" s="182"/>
      <c r="D1666" s="182"/>
      <c r="E1666" s="182"/>
      <c r="F1666" s="182"/>
      <c r="I1666" s="40"/>
      <c r="J1666" s="186"/>
      <c r="K1666" s="186"/>
      <c r="L1666" s="186"/>
      <c r="M1666" s="186"/>
      <c r="N1666" s="186"/>
      <c r="O1666" s="186"/>
      <c r="P1666" s="186"/>
      <c r="Q1666" s="182"/>
      <c r="R1666" s="182"/>
      <c r="S1666" s="182"/>
      <c r="T1666" s="186"/>
      <c r="U1666" s="186"/>
      <c r="AA1666" s="35"/>
      <c r="AB1666" s="35"/>
    </row>
    <row r="1667" spans="2:28" x14ac:dyDescent="0.2">
      <c r="B1667" s="182"/>
      <c r="C1667" s="182"/>
      <c r="D1667" s="182"/>
      <c r="E1667" s="182"/>
      <c r="F1667" s="182"/>
      <c r="I1667" s="40"/>
      <c r="J1667" s="186"/>
      <c r="K1667" s="186"/>
      <c r="L1667" s="186"/>
      <c r="M1667" s="186"/>
      <c r="N1667" s="186"/>
      <c r="O1667" s="186"/>
      <c r="P1667" s="186"/>
      <c r="Q1667" s="182"/>
      <c r="R1667" s="182"/>
      <c r="S1667" s="182"/>
      <c r="T1667" s="186"/>
      <c r="U1667" s="186"/>
      <c r="AA1667" s="35"/>
      <c r="AB1667" s="35"/>
    </row>
    <row r="1668" spans="2:28" x14ac:dyDescent="0.2">
      <c r="B1668" s="182"/>
      <c r="C1668" s="182"/>
      <c r="D1668" s="182"/>
      <c r="E1668" s="182"/>
      <c r="F1668" s="182"/>
      <c r="I1668" s="40"/>
      <c r="J1668" s="186"/>
      <c r="K1668" s="186"/>
      <c r="L1668" s="186"/>
      <c r="M1668" s="186"/>
      <c r="N1668" s="186"/>
      <c r="O1668" s="186"/>
      <c r="P1668" s="186"/>
      <c r="Q1668" s="182"/>
      <c r="R1668" s="182"/>
      <c r="S1668" s="182"/>
      <c r="T1668" s="186"/>
      <c r="U1668" s="186"/>
      <c r="AA1668" s="35"/>
      <c r="AB1668" s="35"/>
    </row>
    <row r="1669" spans="2:28" x14ac:dyDescent="0.2">
      <c r="B1669" s="182"/>
      <c r="C1669" s="182"/>
      <c r="D1669" s="182"/>
      <c r="E1669" s="182"/>
      <c r="F1669" s="182"/>
      <c r="I1669" s="40"/>
      <c r="J1669" s="186"/>
      <c r="K1669" s="186"/>
      <c r="L1669" s="186"/>
      <c r="M1669" s="186"/>
      <c r="N1669" s="186"/>
      <c r="O1669" s="186"/>
      <c r="P1669" s="186"/>
      <c r="Q1669" s="182"/>
      <c r="R1669" s="182"/>
      <c r="S1669" s="182"/>
      <c r="T1669" s="186"/>
      <c r="U1669" s="186"/>
      <c r="AA1669" s="35"/>
      <c r="AB1669" s="35"/>
    </row>
    <row r="1670" spans="2:28" x14ac:dyDescent="0.2">
      <c r="B1670" s="182"/>
      <c r="C1670" s="182"/>
      <c r="D1670" s="182"/>
      <c r="E1670" s="182"/>
      <c r="F1670" s="182"/>
      <c r="I1670" s="40"/>
      <c r="J1670" s="186"/>
      <c r="K1670" s="186"/>
      <c r="L1670" s="186"/>
      <c r="M1670" s="186"/>
      <c r="N1670" s="186"/>
      <c r="O1670" s="186"/>
      <c r="P1670" s="186"/>
      <c r="Q1670" s="182"/>
      <c r="R1670" s="182"/>
      <c r="S1670" s="182"/>
      <c r="T1670" s="186"/>
      <c r="U1670" s="186"/>
      <c r="AA1670" s="35"/>
      <c r="AB1670" s="35"/>
    </row>
    <row r="1671" spans="2:28" x14ac:dyDescent="0.2">
      <c r="B1671" s="182"/>
      <c r="C1671" s="182"/>
      <c r="D1671" s="182"/>
      <c r="E1671" s="182"/>
      <c r="F1671" s="182"/>
      <c r="I1671" s="40"/>
      <c r="J1671" s="186"/>
      <c r="K1671" s="186"/>
      <c r="L1671" s="186"/>
      <c r="M1671" s="186"/>
      <c r="N1671" s="186"/>
      <c r="O1671" s="186"/>
      <c r="P1671" s="186"/>
      <c r="Q1671" s="182"/>
      <c r="R1671" s="182"/>
      <c r="S1671" s="182"/>
      <c r="T1671" s="186"/>
      <c r="U1671" s="186"/>
      <c r="AA1671" s="35"/>
      <c r="AB1671" s="35"/>
    </row>
    <row r="1672" spans="2:28" x14ac:dyDescent="0.2">
      <c r="B1672" s="182"/>
      <c r="C1672" s="182"/>
      <c r="D1672" s="182"/>
      <c r="E1672" s="182"/>
      <c r="F1672" s="182"/>
      <c r="I1672" s="40"/>
      <c r="J1672" s="186"/>
      <c r="K1672" s="186"/>
      <c r="L1672" s="186"/>
      <c r="M1672" s="186"/>
      <c r="N1672" s="186"/>
      <c r="O1672" s="186"/>
      <c r="P1672" s="186"/>
      <c r="Q1672" s="182"/>
      <c r="R1672" s="182"/>
      <c r="S1672" s="182"/>
      <c r="T1672" s="186"/>
      <c r="U1672" s="186"/>
      <c r="AA1672" s="35"/>
      <c r="AB1672" s="35"/>
    </row>
    <row r="1673" spans="2:28" x14ac:dyDescent="0.2">
      <c r="B1673" s="182"/>
      <c r="C1673" s="182"/>
      <c r="D1673" s="182"/>
      <c r="E1673" s="182"/>
      <c r="F1673" s="182"/>
      <c r="I1673" s="40"/>
      <c r="J1673" s="186"/>
      <c r="K1673" s="186"/>
      <c r="L1673" s="186"/>
      <c r="M1673" s="186"/>
      <c r="N1673" s="186"/>
      <c r="O1673" s="186"/>
      <c r="P1673" s="186"/>
      <c r="Q1673" s="182"/>
      <c r="R1673" s="182"/>
      <c r="S1673" s="182"/>
      <c r="T1673" s="186"/>
      <c r="U1673" s="186"/>
      <c r="AA1673" s="35"/>
      <c r="AB1673" s="35"/>
    </row>
    <row r="1674" spans="2:28" x14ac:dyDescent="0.2">
      <c r="B1674" s="182"/>
      <c r="C1674" s="182"/>
      <c r="D1674" s="182"/>
      <c r="E1674" s="182"/>
      <c r="F1674" s="182"/>
      <c r="I1674" s="40"/>
      <c r="J1674" s="186"/>
      <c r="K1674" s="186"/>
      <c r="L1674" s="186"/>
      <c r="M1674" s="186"/>
      <c r="N1674" s="186"/>
      <c r="O1674" s="186"/>
      <c r="P1674" s="186"/>
      <c r="Q1674" s="182"/>
      <c r="R1674" s="182"/>
      <c r="S1674" s="182"/>
      <c r="T1674" s="186"/>
      <c r="U1674" s="186"/>
      <c r="AA1674" s="35"/>
      <c r="AB1674" s="35"/>
    </row>
    <row r="1675" spans="2:28" x14ac:dyDescent="0.2">
      <c r="B1675" s="182"/>
      <c r="C1675" s="182"/>
      <c r="D1675" s="182"/>
      <c r="E1675" s="182"/>
      <c r="F1675" s="182"/>
      <c r="I1675" s="40"/>
      <c r="J1675" s="186"/>
      <c r="K1675" s="186"/>
      <c r="L1675" s="186"/>
      <c r="M1675" s="186"/>
      <c r="N1675" s="186"/>
      <c r="O1675" s="186"/>
      <c r="P1675" s="186"/>
      <c r="Q1675" s="182"/>
      <c r="R1675" s="182"/>
      <c r="S1675" s="182"/>
      <c r="T1675" s="186"/>
      <c r="U1675" s="186"/>
      <c r="AA1675" s="35"/>
      <c r="AB1675" s="35"/>
    </row>
    <row r="1676" spans="2:28" x14ac:dyDescent="0.2">
      <c r="B1676" s="182"/>
      <c r="C1676" s="182"/>
      <c r="D1676" s="182"/>
      <c r="E1676" s="182"/>
      <c r="F1676" s="182"/>
      <c r="I1676" s="40"/>
      <c r="J1676" s="186"/>
      <c r="K1676" s="186"/>
      <c r="L1676" s="186"/>
      <c r="M1676" s="186"/>
      <c r="N1676" s="186"/>
      <c r="O1676" s="186"/>
      <c r="P1676" s="186"/>
      <c r="Q1676" s="182"/>
      <c r="R1676" s="182"/>
      <c r="S1676" s="182"/>
      <c r="T1676" s="186"/>
      <c r="U1676" s="186"/>
      <c r="AA1676" s="35"/>
      <c r="AB1676" s="35"/>
    </row>
    <row r="1677" spans="2:28" x14ac:dyDescent="0.2">
      <c r="B1677" s="182"/>
      <c r="C1677" s="182"/>
      <c r="D1677" s="182"/>
      <c r="E1677" s="182"/>
      <c r="F1677" s="182"/>
      <c r="I1677" s="40"/>
      <c r="J1677" s="186"/>
      <c r="K1677" s="186"/>
      <c r="L1677" s="186"/>
      <c r="M1677" s="186"/>
      <c r="N1677" s="186"/>
      <c r="O1677" s="186"/>
      <c r="P1677" s="186"/>
      <c r="Q1677" s="182"/>
      <c r="R1677" s="182"/>
      <c r="S1677" s="182"/>
      <c r="T1677" s="186"/>
      <c r="U1677" s="186"/>
      <c r="AA1677" s="35"/>
      <c r="AB1677" s="35"/>
    </row>
    <row r="1678" spans="2:28" x14ac:dyDescent="0.2">
      <c r="B1678" s="182"/>
      <c r="C1678" s="182"/>
      <c r="D1678" s="182"/>
      <c r="E1678" s="182"/>
      <c r="F1678" s="182"/>
      <c r="I1678" s="40"/>
      <c r="J1678" s="186"/>
      <c r="K1678" s="186"/>
      <c r="L1678" s="186"/>
      <c r="M1678" s="186"/>
      <c r="N1678" s="186"/>
      <c r="O1678" s="186"/>
      <c r="P1678" s="186"/>
      <c r="Q1678" s="182"/>
      <c r="R1678" s="182"/>
      <c r="S1678" s="182"/>
      <c r="T1678" s="186"/>
      <c r="U1678" s="186"/>
      <c r="AA1678" s="35"/>
      <c r="AB1678" s="35"/>
    </row>
    <row r="1679" spans="2:28" x14ac:dyDescent="0.2">
      <c r="B1679" s="182"/>
      <c r="C1679" s="182"/>
      <c r="D1679" s="182"/>
      <c r="E1679" s="182"/>
      <c r="F1679" s="182"/>
      <c r="I1679" s="40"/>
      <c r="J1679" s="186"/>
      <c r="K1679" s="186"/>
      <c r="L1679" s="186"/>
      <c r="M1679" s="186"/>
      <c r="N1679" s="186"/>
      <c r="O1679" s="186"/>
      <c r="P1679" s="186"/>
      <c r="Q1679" s="182"/>
      <c r="R1679" s="182"/>
      <c r="S1679" s="182"/>
      <c r="T1679" s="186"/>
      <c r="U1679" s="186"/>
      <c r="AA1679" s="35"/>
      <c r="AB1679" s="35"/>
    </row>
    <row r="1680" spans="2:28" x14ac:dyDescent="0.2">
      <c r="B1680" s="182"/>
      <c r="C1680" s="182"/>
      <c r="D1680" s="182"/>
      <c r="E1680" s="182"/>
      <c r="F1680" s="182"/>
      <c r="I1680" s="40"/>
      <c r="J1680" s="186"/>
      <c r="K1680" s="186"/>
      <c r="L1680" s="186"/>
      <c r="M1680" s="186"/>
      <c r="N1680" s="186"/>
      <c r="O1680" s="186"/>
      <c r="P1680" s="186"/>
      <c r="Q1680" s="182"/>
      <c r="R1680" s="182"/>
      <c r="S1680" s="182"/>
      <c r="T1680" s="186"/>
      <c r="U1680" s="186"/>
      <c r="AA1680" s="35"/>
      <c r="AB1680" s="35"/>
    </row>
    <row r="1681" spans="2:28" x14ac:dyDescent="0.2">
      <c r="B1681" s="182"/>
      <c r="C1681" s="182"/>
      <c r="D1681" s="182"/>
      <c r="E1681" s="182"/>
      <c r="F1681" s="182"/>
      <c r="I1681" s="40"/>
      <c r="J1681" s="186"/>
      <c r="K1681" s="186"/>
      <c r="L1681" s="186"/>
      <c r="M1681" s="186"/>
      <c r="N1681" s="186"/>
      <c r="O1681" s="186"/>
      <c r="P1681" s="186"/>
      <c r="Q1681" s="182"/>
      <c r="R1681" s="182"/>
      <c r="S1681" s="182"/>
      <c r="T1681" s="186"/>
      <c r="U1681" s="186"/>
      <c r="AA1681" s="35"/>
      <c r="AB1681" s="35"/>
    </row>
    <row r="1682" spans="2:28" x14ac:dyDescent="0.2">
      <c r="B1682" s="182"/>
      <c r="C1682" s="182"/>
      <c r="D1682" s="182"/>
      <c r="E1682" s="182"/>
      <c r="F1682" s="182"/>
      <c r="I1682" s="40"/>
      <c r="J1682" s="186"/>
      <c r="K1682" s="186"/>
      <c r="L1682" s="186"/>
      <c r="M1682" s="186"/>
      <c r="N1682" s="186"/>
      <c r="O1682" s="186"/>
      <c r="P1682" s="186"/>
      <c r="Q1682" s="182"/>
      <c r="R1682" s="182"/>
      <c r="S1682" s="182"/>
      <c r="T1682" s="186"/>
      <c r="U1682" s="186"/>
      <c r="AA1682" s="35"/>
      <c r="AB1682" s="35"/>
    </row>
    <row r="1683" spans="2:28" x14ac:dyDescent="0.2">
      <c r="B1683" s="182"/>
      <c r="C1683" s="182"/>
      <c r="D1683" s="182"/>
      <c r="E1683" s="182"/>
      <c r="F1683" s="182"/>
      <c r="I1683" s="40"/>
      <c r="J1683" s="186"/>
      <c r="K1683" s="186"/>
      <c r="L1683" s="186"/>
      <c r="M1683" s="186"/>
      <c r="N1683" s="186"/>
      <c r="O1683" s="186"/>
      <c r="P1683" s="186"/>
      <c r="Q1683" s="182"/>
      <c r="R1683" s="182"/>
      <c r="S1683" s="182"/>
      <c r="T1683" s="186"/>
      <c r="U1683" s="186"/>
      <c r="AA1683" s="35"/>
      <c r="AB1683" s="35"/>
    </row>
    <row r="1684" spans="2:28" x14ac:dyDescent="0.2">
      <c r="B1684" s="182"/>
      <c r="C1684" s="182"/>
      <c r="D1684" s="182"/>
      <c r="E1684" s="182"/>
      <c r="F1684" s="182"/>
      <c r="I1684" s="40"/>
      <c r="J1684" s="186"/>
      <c r="K1684" s="186"/>
      <c r="L1684" s="186"/>
      <c r="M1684" s="186"/>
      <c r="N1684" s="186"/>
      <c r="O1684" s="186"/>
      <c r="P1684" s="186"/>
      <c r="Q1684" s="182"/>
      <c r="R1684" s="182"/>
      <c r="S1684" s="182"/>
      <c r="T1684" s="186"/>
      <c r="U1684" s="186"/>
      <c r="AA1684" s="35"/>
      <c r="AB1684" s="35"/>
    </row>
    <row r="1685" spans="2:28" x14ac:dyDescent="0.2">
      <c r="B1685" s="182"/>
      <c r="C1685" s="182"/>
      <c r="D1685" s="182"/>
      <c r="E1685" s="182"/>
      <c r="F1685" s="182"/>
      <c r="I1685" s="40"/>
      <c r="J1685" s="186"/>
      <c r="K1685" s="186"/>
      <c r="L1685" s="186"/>
      <c r="M1685" s="186"/>
      <c r="N1685" s="186"/>
      <c r="O1685" s="186"/>
      <c r="P1685" s="186"/>
      <c r="Q1685" s="182"/>
      <c r="R1685" s="182"/>
      <c r="S1685" s="182"/>
      <c r="T1685" s="186"/>
      <c r="U1685" s="186"/>
      <c r="AA1685" s="35"/>
      <c r="AB1685" s="35"/>
    </row>
    <row r="1686" spans="2:28" x14ac:dyDescent="0.2">
      <c r="B1686" s="182"/>
      <c r="C1686" s="182"/>
      <c r="D1686" s="182"/>
      <c r="E1686" s="182"/>
      <c r="F1686" s="182"/>
      <c r="I1686" s="40"/>
      <c r="J1686" s="186"/>
      <c r="K1686" s="186"/>
      <c r="L1686" s="186"/>
      <c r="M1686" s="186"/>
      <c r="N1686" s="186"/>
      <c r="O1686" s="186"/>
      <c r="P1686" s="186"/>
      <c r="Q1686" s="182"/>
      <c r="R1686" s="182"/>
      <c r="S1686" s="182"/>
      <c r="T1686" s="186"/>
      <c r="U1686" s="186"/>
      <c r="AA1686" s="35"/>
      <c r="AB1686" s="35"/>
    </row>
    <row r="1687" spans="2:28" x14ac:dyDescent="0.2">
      <c r="B1687" s="182"/>
      <c r="C1687" s="182"/>
      <c r="D1687" s="182"/>
      <c r="E1687" s="182"/>
      <c r="F1687" s="182"/>
      <c r="I1687" s="40"/>
      <c r="J1687" s="186"/>
      <c r="K1687" s="186"/>
      <c r="L1687" s="186"/>
      <c r="M1687" s="186"/>
      <c r="N1687" s="186"/>
      <c r="O1687" s="186"/>
      <c r="P1687" s="186"/>
      <c r="Q1687" s="182"/>
      <c r="R1687" s="182"/>
      <c r="S1687" s="182"/>
      <c r="T1687" s="186"/>
      <c r="U1687" s="186"/>
      <c r="AA1687" s="35"/>
      <c r="AB1687" s="35"/>
    </row>
    <row r="1688" spans="2:28" x14ac:dyDescent="0.2">
      <c r="B1688" s="182"/>
      <c r="C1688" s="182"/>
      <c r="D1688" s="182"/>
      <c r="E1688" s="182"/>
      <c r="F1688" s="182"/>
      <c r="I1688" s="40"/>
      <c r="J1688" s="186"/>
      <c r="K1688" s="186"/>
      <c r="L1688" s="186"/>
      <c r="M1688" s="186"/>
      <c r="N1688" s="186"/>
      <c r="O1688" s="186"/>
      <c r="P1688" s="186"/>
      <c r="Q1688" s="182"/>
      <c r="R1688" s="182"/>
      <c r="S1688" s="182"/>
      <c r="T1688" s="186"/>
      <c r="U1688" s="186"/>
      <c r="AA1688" s="35"/>
      <c r="AB1688" s="35"/>
    </row>
    <row r="1689" spans="2:28" x14ac:dyDescent="0.2">
      <c r="B1689" s="182"/>
      <c r="C1689" s="182"/>
      <c r="D1689" s="182"/>
      <c r="E1689" s="182"/>
      <c r="F1689" s="182"/>
      <c r="I1689" s="40"/>
      <c r="J1689" s="186"/>
      <c r="K1689" s="186"/>
      <c r="L1689" s="186"/>
      <c r="M1689" s="186"/>
      <c r="N1689" s="186"/>
      <c r="O1689" s="186"/>
      <c r="P1689" s="186"/>
      <c r="Q1689" s="182"/>
      <c r="R1689" s="182"/>
      <c r="S1689" s="182"/>
      <c r="T1689" s="186"/>
      <c r="U1689" s="186"/>
      <c r="AA1689" s="35"/>
      <c r="AB1689" s="35"/>
    </row>
    <row r="1690" spans="2:28" x14ac:dyDescent="0.2">
      <c r="B1690" s="182"/>
      <c r="C1690" s="182"/>
      <c r="D1690" s="182"/>
      <c r="E1690" s="182"/>
      <c r="F1690" s="182"/>
      <c r="I1690" s="40"/>
      <c r="J1690" s="186"/>
      <c r="K1690" s="186"/>
      <c r="L1690" s="186"/>
      <c r="M1690" s="186"/>
      <c r="N1690" s="186"/>
      <c r="O1690" s="186"/>
      <c r="P1690" s="186"/>
      <c r="Q1690" s="182"/>
      <c r="R1690" s="182"/>
      <c r="S1690" s="182"/>
      <c r="T1690" s="186"/>
      <c r="U1690" s="186"/>
      <c r="AA1690" s="35"/>
      <c r="AB1690" s="35"/>
    </row>
    <row r="1691" spans="2:28" x14ac:dyDescent="0.2">
      <c r="B1691" s="182"/>
      <c r="C1691" s="182"/>
      <c r="D1691" s="182"/>
      <c r="E1691" s="182"/>
      <c r="F1691" s="182"/>
      <c r="I1691" s="40"/>
      <c r="J1691" s="186"/>
      <c r="K1691" s="186"/>
      <c r="L1691" s="186"/>
      <c r="M1691" s="186"/>
      <c r="N1691" s="186"/>
      <c r="O1691" s="186"/>
      <c r="P1691" s="186"/>
      <c r="Q1691" s="182"/>
      <c r="R1691" s="182"/>
      <c r="S1691" s="182"/>
      <c r="T1691" s="186"/>
      <c r="U1691" s="186"/>
      <c r="AA1691" s="35"/>
      <c r="AB1691" s="35"/>
    </row>
    <row r="1692" spans="2:28" x14ac:dyDescent="0.2">
      <c r="B1692" s="182"/>
      <c r="C1692" s="182"/>
      <c r="D1692" s="182"/>
      <c r="E1692" s="182"/>
      <c r="F1692" s="182"/>
      <c r="I1692" s="40"/>
      <c r="J1692" s="186"/>
      <c r="K1692" s="186"/>
      <c r="L1692" s="186"/>
      <c r="M1692" s="186"/>
      <c r="N1692" s="186"/>
      <c r="O1692" s="186"/>
      <c r="P1692" s="186"/>
      <c r="Q1692" s="182"/>
      <c r="R1692" s="182"/>
      <c r="S1692" s="182"/>
      <c r="T1692" s="186"/>
      <c r="U1692" s="186"/>
      <c r="AA1692" s="35"/>
      <c r="AB1692" s="35"/>
    </row>
    <row r="1693" spans="2:28" x14ac:dyDescent="0.2">
      <c r="B1693" s="182"/>
      <c r="C1693" s="182"/>
      <c r="D1693" s="182"/>
      <c r="E1693" s="182"/>
      <c r="F1693" s="182"/>
      <c r="I1693" s="40"/>
      <c r="J1693" s="186"/>
      <c r="K1693" s="186"/>
      <c r="L1693" s="186"/>
      <c r="M1693" s="186"/>
      <c r="N1693" s="186"/>
      <c r="O1693" s="186"/>
      <c r="P1693" s="186"/>
      <c r="Q1693" s="182"/>
      <c r="R1693" s="182"/>
      <c r="S1693" s="182"/>
      <c r="T1693" s="186"/>
      <c r="U1693" s="186"/>
      <c r="AA1693" s="35"/>
      <c r="AB1693" s="35"/>
    </row>
    <row r="1694" spans="2:28" x14ac:dyDescent="0.2">
      <c r="B1694" s="182"/>
      <c r="C1694" s="182"/>
      <c r="D1694" s="182"/>
      <c r="E1694" s="182"/>
      <c r="F1694" s="182"/>
      <c r="I1694" s="40"/>
      <c r="J1694" s="186"/>
      <c r="K1694" s="186"/>
      <c r="L1694" s="186"/>
      <c r="M1694" s="186"/>
      <c r="N1694" s="186"/>
      <c r="O1694" s="186"/>
      <c r="P1694" s="186"/>
      <c r="Q1694" s="182"/>
      <c r="R1694" s="182"/>
      <c r="S1694" s="182"/>
      <c r="T1694" s="186"/>
      <c r="U1694" s="186"/>
      <c r="AA1694" s="35"/>
      <c r="AB1694" s="35"/>
    </row>
    <row r="1695" spans="2:28" x14ac:dyDescent="0.2">
      <c r="B1695" s="182"/>
      <c r="C1695" s="182"/>
      <c r="D1695" s="182"/>
      <c r="E1695" s="182"/>
      <c r="F1695" s="182"/>
      <c r="I1695" s="40"/>
      <c r="J1695" s="186"/>
      <c r="K1695" s="186"/>
      <c r="L1695" s="186"/>
      <c r="M1695" s="186"/>
      <c r="N1695" s="186"/>
      <c r="O1695" s="186"/>
      <c r="P1695" s="186"/>
      <c r="Q1695" s="182"/>
      <c r="R1695" s="182"/>
      <c r="S1695" s="182"/>
      <c r="T1695" s="186"/>
      <c r="U1695" s="186"/>
      <c r="AA1695" s="35"/>
      <c r="AB1695" s="35"/>
    </row>
    <row r="1696" spans="2:28" x14ac:dyDescent="0.2">
      <c r="B1696" s="182"/>
      <c r="C1696" s="182"/>
      <c r="D1696" s="182"/>
      <c r="E1696" s="182"/>
      <c r="F1696" s="182"/>
      <c r="I1696" s="40"/>
      <c r="J1696" s="186"/>
      <c r="K1696" s="186"/>
      <c r="L1696" s="186"/>
      <c r="M1696" s="186"/>
      <c r="N1696" s="186"/>
      <c r="O1696" s="186"/>
      <c r="P1696" s="186"/>
      <c r="Q1696" s="182"/>
      <c r="R1696" s="182"/>
      <c r="S1696" s="182"/>
      <c r="T1696" s="186"/>
      <c r="U1696" s="186"/>
      <c r="AA1696" s="35"/>
      <c r="AB1696" s="35"/>
    </row>
    <row r="1697" spans="2:28" x14ac:dyDescent="0.2">
      <c r="B1697" s="182"/>
      <c r="C1697" s="182"/>
      <c r="D1697" s="182"/>
      <c r="E1697" s="182"/>
      <c r="F1697" s="182"/>
      <c r="I1697" s="40"/>
      <c r="J1697" s="186"/>
      <c r="K1697" s="186"/>
      <c r="L1697" s="186"/>
      <c r="M1697" s="186"/>
      <c r="N1697" s="186"/>
      <c r="O1697" s="186"/>
      <c r="P1697" s="186"/>
      <c r="Q1697" s="182"/>
      <c r="R1697" s="182"/>
      <c r="S1697" s="182"/>
      <c r="T1697" s="186"/>
      <c r="U1697" s="186"/>
      <c r="AA1697" s="35"/>
      <c r="AB1697" s="35"/>
    </row>
    <row r="1698" spans="2:28" x14ac:dyDescent="0.2">
      <c r="B1698" s="182"/>
      <c r="C1698" s="182"/>
      <c r="D1698" s="182"/>
      <c r="E1698" s="182"/>
      <c r="F1698" s="182"/>
      <c r="I1698" s="40"/>
      <c r="J1698" s="186"/>
      <c r="K1698" s="186"/>
      <c r="L1698" s="186"/>
      <c r="M1698" s="186"/>
      <c r="N1698" s="186"/>
      <c r="O1698" s="186"/>
      <c r="P1698" s="186"/>
      <c r="Q1698" s="182"/>
      <c r="R1698" s="182"/>
      <c r="S1698" s="182"/>
      <c r="T1698" s="186"/>
      <c r="U1698" s="186"/>
      <c r="AA1698" s="35"/>
      <c r="AB1698" s="35"/>
    </row>
    <row r="1699" spans="2:28" x14ac:dyDescent="0.2">
      <c r="B1699" s="182"/>
      <c r="C1699" s="182"/>
      <c r="D1699" s="182"/>
      <c r="E1699" s="182"/>
      <c r="F1699" s="182"/>
      <c r="I1699" s="40"/>
      <c r="J1699" s="186"/>
      <c r="K1699" s="186"/>
      <c r="L1699" s="186"/>
      <c r="M1699" s="186"/>
      <c r="N1699" s="186"/>
      <c r="O1699" s="186"/>
      <c r="P1699" s="186"/>
      <c r="Q1699" s="182"/>
      <c r="R1699" s="182"/>
      <c r="S1699" s="182"/>
      <c r="T1699" s="186"/>
      <c r="U1699" s="186"/>
      <c r="AA1699" s="35"/>
      <c r="AB1699" s="35"/>
    </row>
    <row r="1700" spans="2:28" x14ac:dyDescent="0.2">
      <c r="B1700" s="182"/>
      <c r="C1700" s="182"/>
      <c r="D1700" s="182"/>
      <c r="E1700" s="182"/>
      <c r="F1700" s="182"/>
      <c r="I1700" s="40"/>
      <c r="J1700" s="186"/>
      <c r="K1700" s="186"/>
      <c r="L1700" s="186"/>
      <c r="M1700" s="186"/>
      <c r="N1700" s="186"/>
      <c r="O1700" s="186"/>
      <c r="P1700" s="186"/>
      <c r="Q1700" s="182"/>
      <c r="R1700" s="182"/>
      <c r="S1700" s="182"/>
      <c r="T1700" s="186"/>
      <c r="U1700" s="186"/>
      <c r="AA1700" s="35"/>
      <c r="AB1700" s="35"/>
    </row>
    <row r="1701" spans="2:28" x14ac:dyDescent="0.2">
      <c r="B1701" s="182"/>
      <c r="C1701" s="182"/>
      <c r="D1701" s="182"/>
      <c r="E1701" s="182"/>
      <c r="F1701" s="182"/>
      <c r="I1701" s="40"/>
      <c r="J1701" s="186"/>
      <c r="K1701" s="186"/>
      <c r="L1701" s="186"/>
      <c r="M1701" s="186"/>
      <c r="N1701" s="186"/>
      <c r="O1701" s="186"/>
      <c r="P1701" s="186"/>
      <c r="Q1701" s="182"/>
      <c r="R1701" s="182"/>
      <c r="S1701" s="182"/>
      <c r="T1701" s="186"/>
      <c r="U1701" s="186"/>
      <c r="AA1701" s="35"/>
      <c r="AB1701" s="35"/>
    </row>
    <row r="1702" spans="2:28" x14ac:dyDescent="0.2">
      <c r="B1702" s="182"/>
      <c r="C1702" s="182"/>
      <c r="D1702" s="182"/>
      <c r="E1702" s="182"/>
      <c r="F1702" s="182"/>
      <c r="I1702" s="40"/>
      <c r="J1702" s="186"/>
      <c r="K1702" s="186"/>
      <c r="L1702" s="186"/>
      <c r="M1702" s="186"/>
      <c r="N1702" s="186"/>
      <c r="O1702" s="186"/>
      <c r="P1702" s="186"/>
      <c r="Q1702" s="182"/>
      <c r="R1702" s="182"/>
      <c r="S1702" s="182"/>
      <c r="T1702" s="186"/>
      <c r="U1702" s="186"/>
      <c r="AA1702" s="35"/>
      <c r="AB1702" s="35"/>
    </row>
    <row r="1703" spans="2:28" x14ac:dyDescent="0.2">
      <c r="B1703" s="182"/>
      <c r="C1703" s="182"/>
      <c r="D1703" s="182"/>
      <c r="E1703" s="182"/>
      <c r="F1703" s="182"/>
      <c r="I1703" s="40"/>
      <c r="J1703" s="186"/>
      <c r="K1703" s="186"/>
      <c r="L1703" s="186"/>
      <c r="M1703" s="186"/>
      <c r="N1703" s="186"/>
      <c r="O1703" s="186"/>
      <c r="P1703" s="186"/>
      <c r="Q1703" s="182"/>
      <c r="R1703" s="182"/>
      <c r="S1703" s="182"/>
      <c r="T1703" s="186"/>
      <c r="U1703" s="186"/>
      <c r="AA1703" s="35"/>
      <c r="AB1703" s="35"/>
    </row>
    <row r="1704" spans="2:28" x14ac:dyDescent="0.2">
      <c r="B1704" s="182"/>
      <c r="C1704" s="182"/>
      <c r="D1704" s="182"/>
      <c r="E1704" s="182"/>
      <c r="F1704" s="182"/>
      <c r="I1704" s="40"/>
      <c r="J1704" s="186"/>
      <c r="K1704" s="186"/>
      <c r="L1704" s="186"/>
      <c r="M1704" s="186"/>
      <c r="N1704" s="186"/>
      <c r="O1704" s="186"/>
      <c r="P1704" s="186"/>
      <c r="Q1704" s="182"/>
      <c r="R1704" s="182"/>
      <c r="S1704" s="182"/>
      <c r="T1704" s="186"/>
      <c r="U1704" s="186"/>
      <c r="AA1704" s="35"/>
      <c r="AB1704" s="35"/>
    </row>
    <row r="1705" spans="2:28" x14ac:dyDescent="0.2">
      <c r="B1705" s="182"/>
      <c r="C1705" s="182"/>
      <c r="D1705" s="182"/>
      <c r="E1705" s="182"/>
      <c r="F1705" s="182"/>
      <c r="I1705" s="40"/>
      <c r="J1705" s="186"/>
      <c r="K1705" s="186"/>
      <c r="L1705" s="186"/>
      <c r="M1705" s="186"/>
      <c r="N1705" s="186"/>
      <c r="O1705" s="186"/>
      <c r="P1705" s="186"/>
      <c r="Q1705" s="182"/>
      <c r="R1705" s="182"/>
      <c r="S1705" s="182"/>
      <c r="T1705" s="186"/>
      <c r="U1705" s="186"/>
      <c r="AA1705" s="35"/>
      <c r="AB1705" s="35"/>
    </row>
    <row r="1706" spans="2:28" x14ac:dyDescent="0.2">
      <c r="B1706" s="182"/>
      <c r="C1706" s="182"/>
      <c r="D1706" s="182"/>
      <c r="E1706" s="182"/>
      <c r="F1706" s="182"/>
      <c r="I1706" s="40"/>
      <c r="J1706" s="186"/>
      <c r="K1706" s="186"/>
      <c r="L1706" s="186"/>
      <c r="M1706" s="186"/>
      <c r="N1706" s="186"/>
      <c r="O1706" s="186"/>
      <c r="P1706" s="186"/>
      <c r="Q1706" s="182"/>
      <c r="R1706" s="182"/>
      <c r="S1706" s="182"/>
      <c r="T1706" s="186"/>
      <c r="U1706" s="186"/>
      <c r="AA1706" s="35"/>
      <c r="AB1706" s="35"/>
    </row>
    <row r="1707" spans="2:28" x14ac:dyDescent="0.2">
      <c r="B1707" s="182"/>
      <c r="C1707" s="182"/>
      <c r="D1707" s="182"/>
      <c r="E1707" s="182"/>
      <c r="F1707" s="182"/>
      <c r="I1707" s="40"/>
      <c r="J1707" s="186"/>
      <c r="K1707" s="186"/>
      <c r="L1707" s="186"/>
      <c r="M1707" s="186"/>
      <c r="N1707" s="186"/>
      <c r="O1707" s="186"/>
      <c r="P1707" s="186"/>
      <c r="Q1707" s="182"/>
      <c r="R1707" s="182"/>
      <c r="S1707" s="182"/>
      <c r="T1707" s="186"/>
      <c r="U1707" s="186"/>
      <c r="AA1707" s="35"/>
      <c r="AB1707" s="35"/>
    </row>
    <row r="1708" spans="2:28" x14ac:dyDescent="0.2">
      <c r="B1708" s="182"/>
      <c r="C1708" s="182"/>
      <c r="D1708" s="182"/>
      <c r="E1708" s="182"/>
      <c r="F1708" s="182"/>
      <c r="I1708" s="40"/>
      <c r="J1708" s="186"/>
      <c r="K1708" s="186"/>
      <c r="L1708" s="186"/>
      <c r="M1708" s="186"/>
      <c r="N1708" s="186"/>
      <c r="O1708" s="186"/>
      <c r="P1708" s="186"/>
      <c r="Q1708" s="182"/>
      <c r="R1708" s="182"/>
      <c r="S1708" s="182"/>
      <c r="T1708" s="186"/>
      <c r="U1708" s="186"/>
      <c r="AA1708" s="35"/>
      <c r="AB1708" s="35"/>
    </row>
    <row r="1709" spans="2:28" x14ac:dyDescent="0.2">
      <c r="B1709" s="182"/>
      <c r="C1709" s="182"/>
      <c r="D1709" s="182"/>
      <c r="E1709" s="182"/>
      <c r="F1709" s="182"/>
      <c r="I1709" s="40"/>
      <c r="J1709" s="186"/>
      <c r="K1709" s="186"/>
      <c r="L1709" s="186"/>
      <c r="M1709" s="186"/>
      <c r="N1709" s="186"/>
      <c r="O1709" s="186"/>
      <c r="P1709" s="186"/>
      <c r="Q1709" s="182"/>
      <c r="R1709" s="182"/>
      <c r="S1709" s="182"/>
      <c r="T1709" s="186"/>
      <c r="U1709" s="186"/>
      <c r="AA1709" s="35"/>
      <c r="AB1709" s="35"/>
    </row>
    <row r="1710" spans="2:28" x14ac:dyDescent="0.2">
      <c r="B1710" s="182"/>
      <c r="C1710" s="182"/>
      <c r="D1710" s="182"/>
      <c r="E1710" s="182"/>
      <c r="F1710" s="182"/>
      <c r="I1710" s="40"/>
      <c r="J1710" s="186"/>
      <c r="K1710" s="186"/>
      <c r="L1710" s="186"/>
      <c r="M1710" s="186"/>
      <c r="N1710" s="186"/>
      <c r="O1710" s="186"/>
      <c r="P1710" s="186"/>
      <c r="Q1710" s="182"/>
      <c r="R1710" s="182"/>
      <c r="S1710" s="182"/>
      <c r="T1710" s="186"/>
      <c r="U1710" s="186"/>
      <c r="AA1710" s="35"/>
      <c r="AB1710" s="35"/>
    </row>
    <row r="1711" spans="2:28" x14ac:dyDescent="0.2">
      <c r="B1711" s="182"/>
      <c r="C1711" s="182"/>
      <c r="D1711" s="182"/>
      <c r="E1711" s="182"/>
      <c r="F1711" s="182"/>
      <c r="I1711" s="40"/>
      <c r="J1711" s="186"/>
      <c r="K1711" s="186"/>
      <c r="L1711" s="186"/>
      <c r="M1711" s="186"/>
      <c r="N1711" s="186"/>
      <c r="O1711" s="186"/>
      <c r="P1711" s="186"/>
      <c r="Q1711" s="182"/>
      <c r="R1711" s="182"/>
      <c r="S1711" s="182"/>
      <c r="T1711" s="186"/>
      <c r="U1711" s="186"/>
      <c r="AA1711" s="35"/>
      <c r="AB1711" s="35"/>
    </row>
    <row r="1712" spans="2:28" x14ac:dyDescent="0.2">
      <c r="B1712" s="182"/>
      <c r="C1712" s="182"/>
      <c r="D1712" s="182"/>
      <c r="E1712" s="182"/>
      <c r="F1712" s="182"/>
      <c r="I1712" s="40"/>
      <c r="J1712" s="186"/>
      <c r="K1712" s="186"/>
      <c r="L1712" s="186"/>
      <c r="M1712" s="186"/>
      <c r="N1712" s="186"/>
      <c r="O1712" s="186"/>
      <c r="P1712" s="186"/>
      <c r="Q1712" s="182"/>
      <c r="R1712" s="182"/>
      <c r="S1712" s="182"/>
      <c r="T1712" s="186"/>
      <c r="U1712" s="186"/>
      <c r="AA1712" s="35"/>
      <c r="AB1712" s="35"/>
    </row>
    <row r="1713" spans="2:28" x14ac:dyDescent="0.2">
      <c r="B1713" s="182"/>
      <c r="C1713" s="182"/>
      <c r="D1713" s="182"/>
      <c r="E1713" s="182"/>
      <c r="F1713" s="182"/>
      <c r="I1713" s="40"/>
      <c r="J1713" s="186"/>
      <c r="K1713" s="186"/>
      <c r="L1713" s="186"/>
      <c r="M1713" s="186"/>
      <c r="N1713" s="186"/>
      <c r="O1713" s="186"/>
      <c r="P1713" s="186"/>
      <c r="Q1713" s="182"/>
      <c r="R1713" s="182"/>
      <c r="S1713" s="182"/>
      <c r="T1713" s="186"/>
      <c r="U1713" s="186"/>
      <c r="AA1713" s="35"/>
      <c r="AB1713" s="35"/>
    </row>
    <row r="1714" spans="2:28" x14ac:dyDescent="0.2">
      <c r="B1714" s="182"/>
      <c r="C1714" s="182"/>
      <c r="D1714" s="182"/>
      <c r="E1714" s="182"/>
      <c r="F1714" s="182"/>
      <c r="I1714" s="40"/>
      <c r="J1714" s="186"/>
      <c r="K1714" s="186"/>
      <c r="L1714" s="186"/>
      <c r="M1714" s="186"/>
      <c r="N1714" s="186"/>
      <c r="O1714" s="186"/>
      <c r="P1714" s="186"/>
      <c r="Q1714" s="182"/>
      <c r="R1714" s="182"/>
      <c r="S1714" s="182"/>
      <c r="T1714" s="186"/>
      <c r="U1714" s="186"/>
      <c r="AA1714" s="35"/>
      <c r="AB1714" s="35"/>
    </row>
    <row r="1715" spans="2:28" x14ac:dyDescent="0.2">
      <c r="B1715" s="182"/>
      <c r="C1715" s="182"/>
      <c r="D1715" s="182"/>
      <c r="E1715" s="182"/>
      <c r="F1715" s="182"/>
      <c r="I1715" s="40"/>
      <c r="J1715" s="186"/>
      <c r="K1715" s="186"/>
      <c r="L1715" s="186"/>
      <c r="M1715" s="186"/>
      <c r="N1715" s="186"/>
      <c r="O1715" s="186"/>
      <c r="P1715" s="186"/>
      <c r="Q1715" s="182"/>
      <c r="R1715" s="182"/>
      <c r="S1715" s="182"/>
      <c r="T1715" s="186"/>
      <c r="U1715" s="186"/>
      <c r="AA1715" s="35"/>
      <c r="AB1715" s="35"/>
    </row>
    <row r="1716" spans="2:28" x14ac:dyDescent="0.2">
      <c r="B1716" s="182"/>
      <c r="C1716" s="182"/>
      <c r="D1716" s="182"/>
      <c r="E1716" s="182"/>
      <c r="F1716" s="182"/>
      <c r="I1716" s="40"/>
      <c r="J1716" s="186"/>
      <c r="K1716" s="186"/>
      <c r="L1716" s="186"/>
      <c r="M1716" s="186"/>
      <c r="N1716" s="186"/>
      <c r="O1716" s="186"/>
      <c r="P1716" s="186"/>
      <c r="Q1716" s="182"/>
      <c r="R1716" s="182"/>
      <c r="S1716" s="182"/>
      <c r="T1716" s="186"/>
      <c r="U1716" s="186"/>
      <c r="AA1716" s="35"/>
      <c r="AB1716" s="35"/>
    </row>
    <row r="1717" spans="2:28" x14ac:dyDescent="0.2">
      <c r="B1717" s="182"/>
      <c r="C1717" s="182"/>
      <c r="D1717" s="182"/>
      <c r="E1717" s="182"/>
      <c r="F1717" s="182"/>
      <c r="I1717" s="40"/>
      <c r="J1717" s="186"/>
      <c r="K1717" s="186"/>
      <c r="L1717" s="186"/>
      <c r="M1717" s="186"/>
      <c r="N1717" s="186"/>
      <c r="O1717" s="186"/>
      <c r="P1717" s="186"/>
      <c r="Q1717" s="182"/>
      <c r="R1717" s="182"/>
      <c r="S1717" s="182"/>
      <c r="T1717" s="186"/>
      <c r="U1717" s="186"/>
      <c r="AA1717" s="35"/>
      <c r="AB1717" s="35"/>
    </row>
    <row r="1718" spans="2:28" x14ac:dyDescent="0.2">
      <c r="B1718" s="182"/>
      <c r="C1718" s="182"/>
      <c r="D1718" s="182"/>
      <c r="E1718" s="182"/>
      <c r="F1718" s="182"/>
      <c r="I1718" s="40"/>
      <c r="J1718" s="186"/>
      <c r="K1718" s="186"/>
      <c r="L1718" s="186"/>
      <c r="M1718" s="186"/>
      <c r="N1718" s="186"/>
      <c r="O1718" s="186"/>
      <c r="P1718" s="186"/>
      <c r="Q1718" s="182"/>
      <c r="R1718" s="182"/>
      <c r="S1718" s="182"/>
      <c r="T1718" s="186"/>
      <c r="U1718" s="186"/>
      <c r="AA1718" s="35"/>
      <c r="AB1718" s="35"/>
    </row>
    <row r="1719" spans="2:28" x14ac:dyDescent="0.2">
      <c r="B1719" s="182"/>
      <c r="C1719" s="182"/>
      <c r="D1719" s="182"/>
      <c r="E1719" s="182"/>
      <c r="F1719" s="182"/>
      <c r="I1719" s="40"/>
      <c r="J1719" s="186"/>
      <c r="K1719" s="186"/>
      <c r="L1719" s="186"/>
      <c r="M1719" s="186"/>
      <c r="N1719" s="186"/>
      <c r="O1719" s="186"/>
      <c r="P1719" s="186"/>
      <c r="Q1719" s="182"/>
      <c r="R1719" s="182"/>
      <c r="S1719" s="182"/>
      <c r="T1719" s="186"/>
      <c r="U1719" s="186"/>
      <c r="AA1719" s="35"/>
      <c r="AB1719" s="35"/>
    </row>
    <row r="1720" spans="2:28" x14ac:dyDescent="0.2">
      <c r="B1720" s="182"/>
      <c r="C1720" s="182"/>
      <c r="D1720" s="182"/>
      <c r="E1720" s="182"/>
      <c r="F1720" s="182"/>
      <c r="I1720" s="40"/>
      <c r="J1720" s="186"/>
      <c r="K1720" s="186"/>
      <c r="L1720" s="186"/>
      <c r="M1720" s="186"/>
      <c r="N1720" s="186"/>
      <c r="O1720" s="186"/>
      <c r="P1720" s="186"/>
      <c r="Q1720" s="182"/>
      <c r="R1720" s="182"/>
      <c r="S1720" s="182"/>
      <c r="T1720" s="186"/>
      <c r="U1720" s="186"/>
      <c r="AA1720" s="35"/>
      <c r="AB1720" s="35"/>
    </row>
    <row r="1721" spans="2:28" x14ac:dyDescent="0.2">
      <c r="B1721" s="182"/>
      <c r="C1721" s="182"/>
      <c r="D1721" s="182"/>
      <c r="E1721" s="182"/>
      <c r="F1721" s="182"/>
      <c r="I1721" s="40"/>
      <c r="J1721" s="186"/>
      <c r="K1721" s="186"/>
      <c r="L1721" s="186"/>
      <c r="M1721" s="186"/>
      <c r="N1721" s="186"/>
      <c r="O1721" s="186"/>
      <c r="P1721" s="186"/>
      <c r="Q1721" s="182"/>
      <c r="R1721" s="182"/>
      <c r="S1721" s="182"/>
      <c r="T1721" s="186"/>
      <c r="U1721" s="186"/>
      <c r="AA1721" s="35"/>
      <c r="AB1721" s="35"/>
    </row>
    <row r="1722" spans="2:28" x14ac:dyDescent="0.2">
      <c r="B1722" s="182"/>
      <c r="C1722" s="182"/>
      <c r="D1722" s="182"/>
      <c r="E1722" s="182"/>
      <c r="F1722" s="182"/>
      <c r="I1722" s="40"/>
      <c r="J1722" s="186"/>
      <c r="K1722" s="186"/>
      <c r="L1722" s="186"/>
      <c r="M1722" s="186"/>
      <c r="N1722" s="186"/>
      <c r="O1722" s="186"/>
      <c r="P1722" s="186"/>
      <c r="Q1722" s="182"/>
      <c r="R1722" s="182"/>
      <c r="S1722" s="182"/>
      <c r="T1722" s="186"/>
      <c r="U1722" s="186"/>
      <c r="AA1722" s="35"/>
      <c r="AB1722" s="35"/>
    </row>
    <row r="1723" spans="2:28" x14ac:dyDescent="0.2">
      <c r="B1723" s="182"/>
      <c r="C1723" s="182"/>
      <c r="D1723" s="182"/>
      <c r="E1723" s="182"/>
      <c r="F1723" s="182"/>
      <c r="I1723" s="40"/>
      <c r="J1723" s="186"/>
      <c r="K1723" s="186"/>
      <c r="L1723" s="186"/>
      <c r="M1723" s="186"/>
      <c r="N1723" s="186"/>
      <c r="O1723" s="186"/>
      <c r="P1723" s="186"/>
      <c r="Q1723" s="182"/>
      <c r="R1723" s="182"/>
      <c r="S1723" s="182"/>
      <c r="T1723" s="186"/>
      <c r="U1723" s="186"/>
      <c r="AA1723" s="35"/>
      <c r="AB1723" s="35"/>
    </row>
    <row r="1724" spans="2:28" x14ac:dyDescent="0.2">
      <c r="B1724" s="182"/>
      <c r="C1724" s="182"/>
      <c r="D1724" s="182"/>
      <c r="E1724" s="182"/>
      <c r="F1724" s="182"/>
      <c r="I1724" s="40"/>
      <c r="J1724" s="186"/>
      <c r="K1724" s="186"/>
      <c r="L1724" s="186"/>
      <c r="M1724" s="186"/>
      <c r="N1724" s="186"/>
      <c r="O1724" s="186"/>
      <c r="P1724" s="186"/>
      <c r="Q1724" s="182"/>
      <c r="R1724" s="182"/>
      <c r="S1724" s="182"/>
      <c r="T1724" s="186"/>
      <c r="U1724" s="186"/>
      <c r="AA1724" s="35"/>
      <c r="AB1724" s="35"/>
    </row>
    <row r="1725" spans="2:28" x14ac:dyDescent="0.2">
      <c r="B1725" s="182"/>
      <c r="C1725" s="182"/>
      <c r="D1725" s="182"/>
      <c r="E1725" s="182"/>
      <c r="F1725" s="182"/>
      <c r="I1725" s="40"/>
      <c r="J1725" s="186"/>
      <c r="K1725" s="186"/>
      <c r="L1725" s="186"/>
      <c r="M1725" s="186"/>
      <c r="N1725" s="186"/>
      <c r="O1725" s="186"/>
      <c r="P1725" s="186"/>
      <c r="Q1725" s="182"/>
      <c r="R1725" s="182"/>
      <c r="S1725" s="182"/>
      <c r="T1725" s="186"/>
      <c r="U1725" s="186"/>
      <c r="AA1725" s="35"/>
      <c r="AB1725" s="35"/>
    </row>
    <row r="1726" spans="2:28" x14ac:dyDescent="0.2">
      <c r="B1726" s="182"/>
      <c r="C1726" s="182"/>
      <c r="D1726" s="182"/>
      <c r="E1726" s="182"/>
      <c r="F1726" s="182"/>
      <c r="I1726" s="40"/>
      <c r="J1726" s="186"/>
      <c r="K1726" s="186"/>
      <c r="L1726" s="186"/>
      <c r="M1726" s="186"/>
      <c r="N1726" s="186"/>
      <c r="O1726" s="186"/>
      <c r="P1726" s="186"/>
      <c r="Q1726" s="182"/>
      <c r="R1726" s="182"/>
      <c r="S1726" s="182"/>
      <c r="T1726" s="186"/>
      <c r="U1726" s="186"/>
      <c r="AA1726" s="35"/>
      <c r="AB1726" s="35"/>
    </row>
    <row r="1727" spans="2:28" x14ac:dyDescent="0.2">
      <c r="B1727" s="182"/>
      <c r="C1727" s="182"/>
      <c r="D1727" s="182"/>
      <c r="E1727" s="182"/>
      <c r="F1727" s="182"/>
      <c r="I1727" s="40"/>
      <c r="J1727" s="186"/>
      <c r="K1727" s="186"/>
      <c r="L1727" s="186"/>
      <c r="M1727" s="186"/>
      <c r="N1727" s="186"/>
      <c r="O1727" s="186"/>
      <c r="P1727" s="186"/>
      <c r="Q1727" s="182"/>
      <c r="R1727" s="182"/>
      <c r="S1727" s="182"/>
      <c r="T1727" s="186"/>
      <c r="U1727" s="186"/>
      <c r="AA1727" s="35"/>
      <c r="AB1727" s="35"/>
    </row>
    <row r="1728" spans="2:28" x14ac:dyDescent="0.2">
      <c r="B1728" s="182"/>
      <c r="C1728" s="182"/>
      <c r="D1728" s="182"/>
      <c r="E1728" s="182"/>
      <c r="F1728" s="182"/>
      <c r="I1728" s="40"/>
      <c r="J1728" s="186"/>
      <c r="K1728" s="186"/>
      <c r="L1728" s="186"/>
      <c r="M1728" s="186"/>
      <c r="N1728" s="186"/>
      <c r="O1728" s="186"/>
      <c r="P1728" s="186"/>
      <c r="Q1728" s="182"/>
      <c r="R1728" s="182"/>
      <c r="S1728" s="182"/>
      <c r="T1728" s="186"/>
      <c r="U1728" s="186"/>
      <c r="AA1728" s="35"/>
      <c r="AB1728" s="35"/>
    </row>
    <row r="1729" spans="2:28" x14ac:dyDescent="0.2">
      <c r="B1729" s="182"/>
      <c r="C1729" s="182"/>
      <c r="D1729" s="182"/>
      <c r="E1729" s="182"/>
      <c r="F1729" s="182"/>
      <c r="I1729" s="40"/>
      <c r="J1729" s="186"/>
      <c r="K1729" s="186"/>
      <c r="L1729" s="186"/>
      <c r="M1729" s="186"/>
      <c r="N1729" s="186"/>
      <c r="O1729" s="186"/>
      <c r="P1729" s="186"/>
      <c r="Q1729" s="182"/>
      <c r="R1729" s="182"/>
      <c r="S1729" s="182"/>
      <c r="T1729" s="186"/>
      <c r="U1729" s="186"/>
      <c r="AA1729" s="35"/>
      <c r="AB1729" s="35"/>
    </row>
    <row r="1730" spans="2:28" x14ac:dyDescent="0.2">
      <c r="B1730" s="182"/>
      <c r="C1730" s="182"/>
      <c r="D1730" s="182"/>
      <c r="E1730" s="182"/>
      <c r="F1730" s="182"/>
      <c r="I1730" s="40"/>
      <c r="J1730" s="186"/>
      <c r="K1730" s="186"/>
      <c r="L1730" s="186"/>
      <c r="M1730" s="186"/>
      <c r="N1730" s="186"/>
      <c r="O1730" s="186"/>
      <c r="P1730" s="186"/>
      <c r="Q1730" s="182"/>
      <c r="R1730" s="182"/>
      <c r="S1730" s="182"/>
      <c r="T1730" s="186"/>
      <c r="U1730" s="186"/>
      <c r="AA1730" s="35"/>
      <c r="AB1730" s="35"/>
    </row>
    <row r="1731" spans="2:28" x14ac:dyDescent="0.2">
      <c r="B1731" s="182"/>
      <c r="C1731" s="182"/>
      <c r="D1731" s="182"/>
      <c r="E1731" s="182"/>
      <c r="F1731" s="182"/>
      <c r="I1731" s="40"/>
      <c r="J1731" s="186"/>
      <c r="K1731" s="186"/>
      <c r="L1731" s="186"/>
      <c r="M1731" s="186"/>
      <c r="N1731" s="186"/>
      <c r="O1731" s="186"/>
      <c r="P1731" s="186"/>
      <c r="Q1731" s="182"/>
      <c r="R1731" s="182"/>
      <c r="S1731" s="182"/>
      <c r="T1731" s="186"/>
      <c r="U1731" s="186"/>
      <c r="AA1731" s="35"/>
      <c r="AB1731" s="35"/>
    </row>
    <row r="1732" spans="2:28" x14ac:dyDescent="0.2">
      <c r="B1732" s="182"/>
      <c r="C1732" s="182"/>
      <c r="D1732" s="182"/>
      <c r="E1732" s="182"/>
      <c r="F1732" s="182"/>
      <c r="I1732" s="40"/>
      <c r="J1732" s="186"/>
      <c r="K1732" s="186"/>
      <c r="L1732" s="186"/>
      <c r="M1732" s="186"/>
      <c r="N1732" s="186"/>
      <c r="O1732" s="186"/>
      <c r="P1732" s="186"/>
      <c r="Q1732" s="182"/>
      <c r="R1732" s="182"/>
      <c r="S1732" s="182"/>
      <c r="T1732" s="186"/>
      <c r="U1732" s="186"/>
      <c r="AA1732" s="35"/>
      <c r="AB1732" s="35"/>
    </row>
    <row r="1733" spans="2:28" x14ac:dyDescent="0.2">
      <c r="B1733" s="182"/>
      <c r="C1733" s="182"/>
      <c r="D1733" s="182"/>
      <c r="E1733" s="182"/>
      <c r="F1733" s="182"/>
      <c r="I1733" s="40"/>
      <c r="J1733" s="186"/>
      <c r="K1733" s="186"/>
      <c r="L1733" s="186"/>
      <c r="M1733" s="186"/>
      <c r="N1733" s="186"/>
      <c r="O1733" s="186"/>
      <c r="P1733" s="186"/>
      <c r="Q1733" s="182"/>
      <c r="R1733" s="182"/>
      <c r="S1733" s="182"/>
      <c r="T1733" s="186"/>
      <c r="U1733" s="186"/>
      <c r="AA1733" s="35"/>
      <c r="AB1733" s="35"/>
    </row>
    <row r="1734" spans="2:28" x14ac:dyDescent="0.2">
      <c r="B1734" s="182"/>
      <c r="C1734" s="182"/>
      <c r="D1734" s="182"/>
      <c r="E1734" s="182"/>
      <c r="F1734" s="182"/>
      <c r="I1734" s="40"/>
      <c r="J1734" s="186"/>
      <c r="K1734" s="186"/>
      <c r="L1734" s="186"/>
      <c r="M1734" s="186"/>
      <c r="N1734" s="186"/>
      <c r="O1734" s="186"/>
      <c r="P1734" s="186"/>
      <c r="Q1734" s="182"/>
      <c r="R1734" s="182"/>
      <c r="S1734" s="182"/>
      <c r="T1734" s="186"/>
      <c r="U1734" s="186"/>
      <c r="AA1734" s="35"/>
      <c r="AB1734" s="35"/>
    </row>
    <row r="1735" spans="2:28" x14ac:dyDescent="0.2">
      <c r="B1735" s="182"/>
      <c r="C1735" s="182"/>
      <c r="D1735" s="182"/>
      <c r="E1735" s="182"/>
      <c r="F1735" s="182"/>
      <c r="I1735" s="40"/>
      <c r="J1735" s="186"/>
      <c r="K1735" s="186"/>
      <c r="L1735" s="186"/>
      <c r="M1735" s="186"/>
      <c r="N1735" s="186"/>
      <c r="O1735" s="186"/>
      <c r="P1735" s="186"/>
      <c r="Q1735" s="182"/>
      <c r="R1735" s="182"/>
      <c r="S1735" s="182"/>
      <c r="T1735" s="186"/>
      <c r="U1735" s="186"/>
      <c r="AA1735" s="35"/>
      <c r="AB1735" s="35"/>
    </row>
    <row r="1736" spans="2:28" x14ac:dyDescent="0.2">
      <c r="B1736" s="182"/>
      <c r="C1736" s="182"/>
      <c r="D1736" s="182"/>
      <c r="E1736" s="182"/>
      <c r="F1736" s="182"/>
      <c r="I1736" s="40"/>
      <c r="J1736" s="186"/>
      <c r="K1736" s="186"/>
      <c r="L1736" s="186"/>
      <c r="M1736" s="186"/>
      <c r="N1736" s="186"/>
      <c r="O1736" s="186"/>
      <c r="P1736" s="186"/>
      <c r="Q1736" s="182"/>
      <c r="R1736" s="182"/>
      <c r="S1736" s="182"/>
      <c r="T1736" s="186"/>
      <c r="U1736" s="186"/>
      <c r="AA1736" s="35"/>
      <c r="AB1736" s="35"/>
    </row>
    <row r="1737" spans="2:28" x14ac:dyDescent="0.2">
      <c r="B1737" s="182"/>
      <c r="C1737" s="182"/>
      <c r="D1737" s="182"/>
      <c r="E1737" s="182"/>
      <c r="F1737" s="182"/>
      <c r="I1737" s="40"/>
      <c r="J1737" s="186"/>
      <c r="K1737" s="186"/>
      <c r="L1737" s="186"/>
      <c r="M1737" s="186"/>
      <c r="N1737" s="186"/>
      <c r="O1737" s="186"/>
      <c r="P1737" s="186"/>
      <c r="Q1737" s="182"/>
      <c r="R1737" s="182"/>
      <c r="S1737" s="182"/>
      <c r="T1737" s="186"/>
      <c r="U1737" s="186"/>
      <c r="AA1737" s="35"/>
      <c r="AB1737" s="35"/>
    </row>
    <row r="1738" spans="2:28" x14ac:dyDescent="0.2">
      <c r="B1738" s="182"/>
      <c r="C1738" s="182"/>
      <c r="D1738" s="182"/>
      <c r="E1738" s="182"/>
      <c r="F1738" s="182"/>
      <c r="I1738" s="40"/>
      <c r="J1738" s="186"/>
      <c r="K1738" s="186"/>
      <c r="L1738" s="186"/>
      <c r="M1738" s="186"/>
      <c r="N1738" s="186"/>
      <c r="O1738" s="186"/>
      <c r="P1738" s="186"/>
      <c r="Q1738" s="182"/>
      <c r="R1738" s="182"/>
      <c r="S1738" s="182"/>
      <c r="T1738" s="186"/>
      <c r="U1738" s="186"/>
      <c r="AA1738" s="35"/>
      <c r="AB1738" s="35"/>
    </row>
    <row r="1739" spans="2:28" x14ac:dyDescent="0.2">
      <c r="B1739" s="182"/>
      <c r="C1739" s="182"/>
      <c r="D1739" s="182"/>
      <c r="E1739" s="182"/>
      <c r="F1739" s="182"/>
      <c r="I1739" s="40"/>
      <c r="J1739" s="186"/>
      <c r="K1739" s="186"/>
      <c r="L1739" s="186"/>
      <c r="M1739" s="186"/>
      <c r="N1739" s="186"/>
      <c r="O1739" s="186"/>
      <c r="P1739" s="186"/>
      <c r="Q1739" s="182"/>
      <c r="R1739" s="182"/>
      <c r="S1739" s="182"/>
      <c r="T1739" s="186"/>
      <c r="U1739" s="186"/>
      <c r="AA1739" s="35"/>
      <c r="AB1739" s="35"/>
    </row>
    <row r="1740" spans="2:28" x14ac:dyDescent="0.2">
      <c r="B1740" s="182"/>
      <c r="C1740" s="182"/>
      <c r="D1740" s="182"/>
      <c r="E1740" s="182"/>
      <c r="F1740" s="182"/>
      <c r="I1740" s="40"/>
      <c r="J1740" s="186"/>
      <c r="K1740" s="186"/>
      <c r="L1740" s="186"/>
      <c r="M1740" s="186"/>
      <c r="N1740" s="186"/>
      <c r="O1740" s="186"/>
      <c r="P1740" s="186"/>
      <c r="Q1740" s="182"/>
      <c r="R1740" s="182"/>
      <c r="S1740" s="182"/>
      <c r="T1740" s="186"/>
      <c r="U1740" s="186"/>
      <c r="AA1740" s="35"/>
      <c r="AB1740" s="35"/>
    </row>
    <row r="1741" spans="2:28" x14ac:dyDescent="0.2">
      <c r="B1741" s="182"/>
      <c r="C1741" s="182"/>
      <c r="D1741" s="182"/>
      <c r="E1741" s="182"/>
      <c r="F1741" s="182"/>
      <c r="I1741" s="40"/>
      <c r="J1741" s="186"/>
      <c r="K1741" s="186"/>
      <c r="L1741" s="186"/>
      <c r="M1741" s="186"/>
      <c r="N1741" s="186"/>
      <c r="O1741" s="186"/>
      <c r="P1741" s="186"/>
      <c r="Q1741" s="182"/>
      <c r="R1741" s="182"/>
      <c r="S1741" s="182"/>
      <c r="T1741" s="186"/>
      <c r="U1741" s="186"/>
      <c r="AA1741" s="35"/>
      <c r="AB1741" s="35"/>
    </row>
    <row r="1742" spans="2:28" x14ac:dyDescent="0.2">
      <c r="B1742" s="182"/>
      <c r="C1742" s="182"/>
      <c r="D1742" s="182"/>
      <c r="E1742" s="182"/>
      <c r="F1742" s="182"/>
      <c r="I1742" s="40"/>
      <c r="J1742" s="186"/>
      <c r="K1742" s="186"/>
      <c r="L1742" s="186"/>
      <c r="M1742" s="186"/>
      <c r="N1742" s="186"/>
      <c r="O1742" s="186"/>
      <c r="P1742" s="186"/>
      <c r="Q1742" s="182"/>
      <c r="R1742" s="182"/>
      <c r="S1742" s="182"/>
      <c r="T1742" s="186"/>
      <c r="U1742" s="186"/>
      <c r="AA1742" s="35"/>
      <c r="AB1742" s="35"/>
    </row>
    <row r="1743" spans="2:28" x14ac:dyDescent="0.2">
      <c r="B1743" s="182"/>
      <c r="C1743" s="182"/>
      <c r="D1743" s="182"/>
      <c r="E1743" s="182"/>
      <c r="F1743" s="182"/>
      <c r="I1743" s="40"/>
      <c r="J1743" s="186"/>
      <c r="K1743" s="186"/>
      <c r="L1743" s="186"/>
      <c r="M1743" s="186"/>
      <c r="N1743" s="186"/>
      <c r="O1743" s="186"/>
      <c r="P1743" s="186"/>
      <c r="Q1743" s="182"/>
      <c r="R1743" s="182"/>
      <c r="S1743" s="182"/>
      <c r="T1743" s="186"/>
      <c r="U1743" s="186"/>
      <c r="AA1743" s="35"/>
      <c r="AB1743" s="35"/>
    </row>
    <row r="1744" spans="2:28" x14ac:dyDescent="0.2">
      <c r="B1744" s="182"/>
      <c r="C1744" s="182"/>
      <c r="D1744" s="182"/>
      <c r="E1744" s="182"/>
      <c r="F1744" s="182"/>
      <c r="I1744" s="40"/>
      <c r="J1744" s="186"/>
      <c r="K1744" s="186"/>
      <c r="L1744" s="186"/>
      <c r="M1744" s="186"/>
      <c r="N1744" s="186"/>
      <c r="O1744" s="186"/>
      <c r="P1744" s="186"/>
      <c r="Q1744" s="182"/>
      <c r="R1744" s="182"/>
      <c r="S1744" s="182"/>
      <c r="T1744" s="186"/>
      <c r="U1744" s="186"/>
      <c r="AA1744" s="35"/>
      <c r="AB1744" s="35"/>
    </row>
    <row r="1745" spans="2:28" x14ac:dyDescent="0.2">
      <c r="B1745" s="182"/>
      <c r="C1745" s="182"/>
      <c r="D1745" s="182"/>
      <c r="E1745" s="182"/>
      <c r="F1745" s="182"/>
      <c r="I1745" s="40"/>
      <c r="J1745" s="186"/>
      <c r="K1745" s="186"/>
      <c r="L1745" s="186"/>
      <c r="M1745" s="186"/>
      <c r="N1745" s="186"/>
      <c r="O1745" s="186"/>
      <c r="P1745" s="186"/>
      <c r="Q1745" s="182"/>
      <c r="R1745" s="182"/>
      <c r="S1745" s="182"/>
      <c r="T1745" s="186"/>
      <c r="U1745" s="186"/>
      <c r="AA1745" s="35"/>
      <c r="AB1745" s="35"/>
    </row>
    <row r="1746" spans="2:28" x14ac:dyDescent="0.2">
      <c r="B1746" s="182"/>
      <c r="C1746" s="182"/>
      <c r="D1746" s="182"/>
      <c r="E1746" s="182"/>
      <c r="F1746" s="182"/>
      <c r="I1746" s="40"/>
      <c r="J1746" s="186"/>
      <c r="K1746" s="186"/>
      <c r="L1746" s="186"/>
      <c r="M1746" s="186"/>
      <c r="N1746" s="186"/>
      <c r="O1746" s="186"/>
      <c r="P1746" s="186"/>
      <c r="Q1746" s="182"/>
      <c r="R1746" s="182"/>
      <c r="S1746" s="182"/>
      <c r="T1746" s="186"/>
      <c r="U1746" s="186"/>
      <c r="AA1746" s="35"/>
      <c r="AB1746" s="35"/>
    </row>
    <row r="1747" spans="2:28" x14ac:dyDescent="0.2">
      <c r="B1747" s="182"/>
      <c r="C1747" s="182"/>
      <c r="D1747" s="182"/>
      <c r="E1747" s="182"/>
      <c r="F1747" s="182"/>
      <c r="I1747" s="40"/>
      <c r="J1747" s="186"/>
      <c r="K1747" s="186"/>
      <c r="L1747" s="186"/>
      <c r="M1747" s="186"/>
      <c r="N1747" s="186"/>
      <c r="O1747" s="186"/>
      <c r="P1747" s="186"/>
      <c r="Q1747" s="182"/>
      <c r="R1747" s="182"/>
      <c r="S1747" s="182"/>
      <c r="T1747" s="186"/>
      <c r="U1747" s="186"/>
      <c r="AA1747" s="35"/>
      <c r="AB1747" s="35"/>
    </row>
    <row r="1748" spans="2:28" x14ac:dyDescent="0.2">
      <c r="B1748" s="182"/>
      <c r="C1748" s="182"/>
      <c r="D1748" s="182"/>
      <c r="E1748" s="182"/>
      <c r="F1748" s="182"/>
      <c r="I1748" s="40"/>
      <c r="J1748" s="186"/>
      <c r="K1748" s="186"/>
      <c r="L1748" s="186"/>
      <c r="M1748" s="186"/>
      <c r="N1748" s="186"/>
      <c r="O1748" s="186"/>
      <c r="P1748" s="186"/>
      <c r="Q1748" s="182"/>
      <c r="R1748" s="182"/>
      <c r="S1748" s="182"/>
      <c r="T1748" s="186"/>
      <c r="U1748" s="186"/>
      <c r="AA1748" s="35"/>
      <c r="AB1748" s="35"/>
    </row>
    <row r="1749" spans="2:28" x14ac:dyDescent="0.2">
      <c r="B1749" s="182"/>
      <c r="C1749" s="182"/>
      <c r="D1749" s="182"/>
      <c r="E1749" s="182"/>
      <c r="F1749" s="182"/>
      <c r="I1749" s="40"/>
      <c r="J1749" s="186"/>
      <c r="K1749" s="186"/>
      <c r="L1749" s="186"/>
      <c r="M1749" s="186"/>
      <c r="N1749" s="186"/>
      <c r="O1749" s="186"/>
      <c r="P1749" s="186"/>
      <c r="Q1749" s="182"/>
      <c r="R1749" s="182"/>
      <c r="S1749" s="182"/>
      <c r="T1749" s="186"/>
      <c r="U1749" s="186"/>
      <c r="AA1749" s="35"/>
      <c r="AB1749" s="35"/>
    </row>
    <row r="1750" spans="2:28" x14ac:dyDescent="0.2">
      <c r="B1750" s="182"/>
      <c r="C1750" s="182"/>
      <c r="D1750" s="182"/>
      <c r="E1750" s="182"/>
      <c r="F1750" s="182"/>
      <c r="I1750" s="40"/>
      <c r="J1750" s="186"/>
      <c r="K1750" s="186"/>
      <c r="L1750" s="186"/>
      <c r="M1750" s="186"/>
      <c r="N1750" s="186"/>
      <c r="O1750" s="186"/>
      <c r="P1750" s="186"/>
      <c r="Q1750" s="182"/>
      <c r="R1750" s="182"/>
      <c r="S1750" s="182"/>
      <c r="T1750" s="186"/>
      <c r="U1750" s="186"/>
      <c r="AA1750" s="35"/>
      <c r="AB1750" s="35"/>
    </row>
    <row r="1751" spans="2:28" x14ac:dyDescent="0.2">
      <c r="B1751" s="182"/>
      <c r="C1751" s="182"/>
      <c r="D1751" s="182"/>
      <c r="E1751" s="182"/>
      <c r="F1751" s="182"/>
      <c r="I1751" s="40"/>
      <c r="J1751" s="186"/>
      <c r="K1751" s="186"/>
      <c r="L1751" s="186"/>
      <c r="M1751" s="186"/>
      <c r="N1751" s="186"/>
      <c r="O1751" s="186"/>
      <c r="P1751" s="186"/>
      <c r="Q1751" s="182"/>
      <c r="R1751" s="182"/>
      <c r="S1751" s="182"/>
      <c r="T1751" s="186"/>
      <c r="U1751" s="186"/>
      <c r="AA1751" s="35"/>
      <c r="AB1751" s="35"/>
    </row>
    <row r="1752" spans="2:28" x14ac:dyDescent="0.2">
      <c r="B1752" s="182"/>
      <c r="C1752" s="182"/>
      <c r="D1752" s="182"/>
      <c r="E1752" s="182"/>
      <c r="F1752" s="182"/>
      <c r="I1752" s="40"/>
      <c r="J1752" s="186"/>
      <c r="K1752" s="186"/>
      <c r="L1752" s="186"/>
      <c r="M1752" s="186"/>
      <c r="N1752" s="186"/>
      <c r="O1752" s="186"/>
      <c r="P1752" s="186"/>
      <c r="Q1752" s="182"/>
      <c r="R1752" s="182"/>
      <c r="S1752" s="182"/>
      <c r="T1752" s="186"/>
      <c r="U1752" s="186"/>
      <c r="AA1752" s="35"/>
      <c r="AB1752" s="35"/>
    </row>
    <row r="1753" spans="2:28" x14ac:dyDescent="0.2">
      <c r="B1753" s="182"/>
      <c r="C1753" s="182"/>
      <c r="D1753" s="182"/>
      <c r="E1753" s="182"/>
      <c r="F1753" s="182"/>
      <c r="I1753" s="40"/>
      <c r="J1753" s="186"/>
      <c r="K1753" s="186"/>
      <c r="L1753" s="186"/>
      <c r="M1753" s="186"/>
      <c r="N1753" s="186"/>
      <c r="O1753" s="186"/>
      <c r="P1753" s="186"/>
      <c r="Q1753" s="182"/>
      <c r="R1753" s="182"/>
      <c r="S1753" s="182"/>
      <c r="T1753" s="186"/>
      <c r="U1753" s="186"/>
      <c r="AA1753" s="35"/>
      <c r="AB1753" s="35"/>
    </row>
    <row r="1754" spans="2:28" x14ac:dyDescent="0.2">
      <c r="B1754" s="182"/>
      <c r="C1754" s="182"/>
      <c r="D1754" s="182"/>
      <c r="E1754" s="182"/>
      <c r="F1754" s="182"/>
      <c r="I1754" s="40"/>
      <c r="J1754" s="186"/>
      <c r="K1754" s="186"/>
      <c r="L1754" s="186"/>
      <c r="M1754" s="186"/>
      <c r="N1754" s="186"/>
      <c r="O1754" s="186"/>
      <c r="P1754" s="186"/>
      <c r="Q1754" s="182"/>
      <c r="R1754" s="182"/>
      <c r="S1754" s="182"/>
      <c r="T1754" s="186"/>
      <c r="U1754" s="186"/>
      <c r="AA1754" s="35"/>
      <c r="AB1754" s="35"/>
    </row>
    <row r="1755" spans="2:28" x14ac:dyDescent="0.2">
      <c r="B1755" s="182"/>
      <c r="C1755" s="182"/>
      <c r="D1755" s="182"/>
      <c r="E1755" s="182"/>
      <c r="F1755" s="182"/>
      <c r="I1755" s="40"/>
      <c r="J1755" s="186"/>
      <c r="K1755" s="186"/>
      <c r="L1755" s="186"/>
      <c r="M1755" s="186"/>
      <c r="N1755" s="186"/>
      <c r="O1755" s="186"/>
      <c r="P1755" s="186"/>
      <c r="Q1755" s="182"/>
      <c r="R1755" s="182"/>
      <c r="S1755" s="182"/>
      <c r="T1755" s="186"/>
      <c r="U1755" s="186"/>
      <c r="AA1755" s="35"/>
      <c r="AB1755" s="35"/>
    </row>
    <row r="1756" spans="2:28" x14ac:dyDescent="0.2">
      <c r="B1756" s="182"/>
      <c r="C1756" s="182"/>
      <c r="D1756" s="182"/>
      <c r="E1756" s="182"/>
      <c r="F1756" s="182"/>
      <c r="I1756" s="40"/>
      <c r="J1756" s="186"/>
      <c r="K1756" s="186"/>
      <c r="L1756" s="186"/>
      <c r="M1756" s="186"/>
      <c r="N1756" s="186"/>
      <c r="O1756" s="186"/>
      <c r="P1756" s="186"/>
      <c r="Q1756" s="182"/>
      <c r="R1756" s="182"/>
      <c r="S1756" s="182"/>
      <c r="T1756" s="186"/>
      <c r="U1756" s="186"/>
      <c r="AA1756" s="35"/>
      <c r="AB1756" s="35"/>
    </row>
    <row r="1757" spans="2:28" x14ac:dyDescent="0.2">
      <c r="B1757" s="182"/>
      <c r="C1757" s="182"/>
      <c r="D1757" s="182"/>
      <c r="E1757" s="182"/>
      <c r="F1757" s="182"/>
      <c r="I1757" s="40"/>
      <c r="J1757" s="186"/>
      <c r="K1757" s="186"/>
      <c r="L1757" s="186"/>
      <c r="M1757" s="186"/>
      <c r="N1757" s="186"/>
      <c r="O1757" s="186"/>
      <c r="P1757" s="186"/>
      <c r="Q1757" s="182"/>
      <c r="R1757" s="182"/>
      <c r="S1757" s="182"/>
      <c r="T1757" s="186"/>
      <c r="U1757" s="186"/>
      <c r="AA1757" s="35"/>
      <c r="AB1757" s="35"/>
    </row>
    <row r="1758" spans="2:28" x14ac:dyDescent="0.2">
      <c r="B1758" s="182"/>
      <c r="C1758" s="182"/>
      <c r="D1758" s="182"/>
      <c r="E1758" s="182"/>
      <c r="F1758" s="182"/>
      <c r="I1758" s="40"/>
      <c r="J1758" s="186"/>
      <c r="K1758" s="186"/>
      <c r="L1758" s="186"/>
      <c r="M1758" s="186"/>
      <c r="N1758" s="186"/>
      <c r="O1758" s="186"/>
      <c r="P1758" s="186"/>
      <c r="Q1758" s="182"/>
      <c r="R1758" s="182"/>
      <c r="S1758" s="182"/>
      <c r="T1758" s="186"/>
      <c r="U1758" s="186"/>
      <c r="AA1758" s="35"/>
      <c r="AB1758" s="35"/>
    </row>
    <row r="1759" spans="2:28" x14ac:dyDescent="0.2">
      <c r="B1759" s="182"/>
      <c r="C1759" s="182"/>
      <c r="D1759" s="182"/>
      <c r="E1759" s="182"/>
      <c r="F1759" s="182"/>
      <c r="I1759" s="40"/>
      <c r="J1759" s="186"/>
      <c r="K1759" s="186"/>
      <c r="L1759" s="186"/>
      <c r="M1759" s="186"/>
      <c r="N1759" s="186"/>
      <c r="O1759" s="186"/>
      <c r="P1759" s="186"/>
      <c r="Q1759" s="182"/>
      <c r="R1759" s="182"/>
      <c r="S1759" s="182"/>
      <c r="T1759" s="186"/>
      <c r="U1759" s="186"/>
      <c r="AA1759" s="35"/>
      <c r="AB1759" s="35"/>
    </row>
    <row r="1760" spans="2:28" x14ac:dyDescent="0.2">
      <c r="B1760" s="182"/>
      <c r="C1760" s="182"/>
      <c r="D1760" s="182"/>
      <c r="E1760" s="182"/>
      <c r="F1760" s="182"/>
      <c r="I1760" s="40"/>
      <c r="J1760" s="186"/>
      <c r="K1760" s="186"/>
      <c r="L1760" s="186"/>
      <c r="M1760" s="186"/>
      <c r="N1760" s="186"/>
      <c r="O1760" s="186"/>
      <c r="P1760" s="186"/>
      <c r="Q1760" s="182"/>
      <c r="R1760" s="182"/>
      <c r="S1760" s="182"/>
      <c r="T1760" s="186"/>
      <c r="U1760" s="186"/>
      <c r="AA1760" s="35"/>
      <c r="AB1760" s="35"/>
    </row>
    <row r="1761" spans="2:28" x14ac:dyDescent="0.2">
      <c r="B1761" s="182"/>
      <c r="C1761" s="182"/>
      <c r="D1761" s="182"/>
      <c r="E1761" s="182"/>
      <c r="F1761" s="182"/>
      <c r="I1761" s="40"/>
      <c r="J1761" s="186"/>
      <c r="K1761" s="186"/>
      <c r="L1761" s="186"/>
      <c r="M1761" s="186"/>
      <c r="N1761" s="186"/>
      <c r="O1761" s="186"/>
      <c r="P1761" s="186"/>
      <c r="Q1761" s="182"/>
      <c r="R1761" s="182"/>
      <c r="S1761" s="182"/>
      <c r="T1761" s="186"/>
      <c r="U1761" s="186"/>
      <c r="AA1761" s="35"/>
      <c r="AB1761" s="35"/>
    </row>
    <row r="1762" spans="2:28" x14ac:dyDescent="0.2">
      <c r="B1762" s="182"/>
      <c r="C1762" s="182"/>
      <c r="D1762" s="182"/>
      <c r="E1762" s="182"/>
      <c r="F1762" s="182"/>
      <c r="I1762" s="40"/>
      <c r="J1762" s="186"/>
      <c r="K1762" s="186"/>
      <c r="L1762" s="186"/>
      <c r="M1762" s="186"/>
      <c r="N1762" s="186"/>
      <c r="O1762" s="186"/>
      <c r="P1762" s="186"/>
      <c r="Q1762" s="182"/>
      <c r="R1762" s="182"/>
      <c r="S1762" s="182"/>
      <c r="T1762" s="186"/>
      <c r="U1762" s="186"/>
      <c r="AA1762" s="35"/>
      <c r="AB1762" s="35"/>
    </row>
    <row r="1763" spans="2:28" x14ac:dyDescent="0.2">
      <c r="B1763" s="182"/>
      <c r="C1763" s="182"/>
      <c r="D1763" s="182"/>
      <c r="E1763" s="182"/>
      <c r="F1763" s="182"/>
      <c r="I1763" s="40"/>
      <c r="J1763" s="186"/>
      <c r="K1763" s="186"/>
      <c r="L1763" s="186"/>
      <c r="M1763" s="186"/>
      <c r="N1763" s="186"/>
      <c r="O1763" s="186"/>
      <c r="P1763" s="186"/>
      <c r="Q1763" s="182"/>
      <c r="R1763" s="182"/>
      <c r="S1763" s="182"/>
      <c r="T1763" s="186"/>
      <c r="U1763" s="186"/>
      <c r="AA1763" s="35"/>
      <c r="AB1763" s="35"/>
    </row>
    <row r="1764" spans="2:28" x14ac:dyDescent="0.2">
      <c r="B1764" s="182"/>
      <c r="C1764" s="182"/>
      <c r="D1764" s="182"/>
      <c r="E1764" s="182"/>
      <c r="F1764" s="182"/>
      <c r="I1764" s="40"/>
      <c r="J1764" s="186"/>
      <c r="K1764" s="186"/>
      <c r="L1764" s="186"/>
      <c r="M1764" s="186"/>
      <c r="N1764" s="186"/>
      <c r="O1764" s="186"/>
      <c r="P1764" s="186"/>
      <c r="Q1764" s="182"/>
      <c r="R1764" s="182"/>
      <c r="S1764" s="182"/>
      <c r="T1764" s="186"/>
      <c r="U1764" s="186"/>
      <c r="AA1764" s="35"/>
      <c r="AB1764" s="35"/>
    </row>
    <row r="1765" spans="2:28" x14ac:dyDescent="0.2">
      <c r="B1765" s="182"/>
      <c r="C1765" s="182"/>
      <c r="D1765" s="182"/>
      <c r="E1765" s="182"/>
      <c r="F1765" s="182"/>
      <c r="I1765" s="40"/>
      <c r="J1765" s="186"/>
      <c r="K1765" s="186"/>
      <c r="L1765" s="186"/>
      <c r="M1765" s="186"/>
      <c r="N1765" s="186"/>
      <c r="O1765" s="186"/>
      <c r="P1765" s="186"/>
      <c r="Q1765" s="182"/>
      <c r="R1765" s="182"/>
      <c r="S1765" s="182"/>
      <c r="T1765" s="186"/>
      <c r="U1765" s="186"/>
      <c r="AA1765" s="35"/>
      <c r="AB1765" s="35"/>
    </row>
    <row r="1766" spans="2:28" x14ac:dyDescent="0.2">
      <c r="B1766" s="182"/>
      <c r="C1766" s="182"/>
      <c r="D1766" s="182"/>
      <c r="E1766" s="182"/>
      <c r="F1766" s="182"/>
      <c r="I1766" s="40"/>
      <c r="J1766" s="186"/>
      <c r="K1766" s="186"/>
      <c r="L1766" s="186"/>
      <c r="M1766" s="186"/>
      <c r="N1766" s="186"/>
      <c r="O1766" s="186"/>
      <c r="P1766" s="186"/>
      <c r="Q1766" s="182"/>
      <c r="R1766" s="182"/>
      <c r="S1766" s="182"/>
      <c r="T1766" s="186"/>
      <c r="U1766" s="186"/>
      <c r="AA1766" s="35"/>
      <c r="AB1766" s="35"/>
    </row>
    <row r="1767" spans="2:28" x14ac:dyDescent="0.2">
      <c r="B1767" s="182"/>
      <c r="C1767" s="182"/>
      <c r="D1767" s="182"/>
      <c r="E1767" s="182"/>
      <c r="F1767" s="182"/>
      <c r="I1767" s="40"/>
      <c r="J1767" s="186"/>
      <c r="K1767" s="186"/>
      <c r="L1767" s="186"/>
      <c r="M1767" s="186"/>
      <c r="N1767" s="186"/>
      <c r="O1767" s="186"/>
      <c r="P1767" s="186"/>
      <c r="Q1767" s="182"/>
      <c r="R1767" s="182"/>
      <c r="S1767" s="182"/>
      <c r="T1767" s="186"/>
      <c r="U1767" s="186"/>
      <c r="AA1767" s="35"/>
      <c r="AB1767" s="35"/>
    </row>
    <row r="1768" spans="2:28" x14ac:dyDescent="0.2">
      <c r="B1768" s="182"/>
      <c r="C1768" s="182"/>
      <c r="D1768" s="182"/>
      <c r="E1768" s="182"/>
      <c r="F1768" s="182"/>
      <c r="I1768" s="40"/>
      <c r="J1768" s="186"/>
      <c r="K1768" s="186"/>
      <c r="L1768" s="186"/>
      <c r="M1768" s="186"/>
      <c r="N1768" s="186"/>
      <c r="O1768" s="186"/>
      <c r="P1768" s="186"/>
      <c r="Q1768" s="182"/>
      <c r="R1768" s="182"/>
      <c r="S1768" s="182"/>
      <c r="T1768" s="186"/>
      <c r="U1768" s="186"/>
      <c r="AA1768" s="35"/>
      <c r="AB1768" s="35"/>
    </row>
    <row r="1769" spans="2:28" x14ac:dyDescent="0.2">
      <c r="B1769" s="182"/>
      <c r="C1769" s="182"/>
      <c r="D1769" s="182"/>
      <c r="E1769" s="182"/>
      <c r="F1769" s="182"/>
      <c r="I1769" s="40"/>
      <c r="J1769" s="186"/>
      <c r="K1769" s="186"/>
      <c r="L1769" s="186"/>
      <c r="M1769" s="186"/>
      <c r="N1769" s="186"/>
      <c r="O1769" s="186"/>
      <c r="P1769" s="186"/>
      <c r="Q1769" s="182"/>
      <c r="R1769" s="182"/>
      <c r="S1769" s="182"/>
      <c r="T1769" s="186"/>
      <c r="U1769" s="186"/>
      <c r="AA1769" s="35"/>
      <c r="AB1769" s="35"/>
    </row>
    <row r="1770" spans="2:28" x14ac:dyDescent="0.2">
      <c r="B1770" s="182"/>
      <c r="C1770" s="182"/>
      <c r="D1770" s="182"/>
      <c r="E1770" s="182"/>
      <c r="F1770" s="182"/>
      <c r="I1770" s="40"/>
      <c r="J1770" s="186"/>
      <c r="K1770" s="186"/>
      <c r="L1770" s="186"/>
      <c r="M1770" s="186"/>
      <c r="N1770" s="186"/>
      <c r="O1770" s="186"/>
      <c r="P1770" s="186"/>
      <c r="Q1770" s="182"/>
      <c r="R1770" s="182"/>
      <c r="S1770" s="182"/>
      <c r="T1770" s="186"/>
      <c r="U1770" s="186"/>
      <c r="AA1770" s="35"/>
      <c r="AB1770" s="35"/>
    </row>
    <row r="1771" spans="2:28" x14ac:dyDescent="0.2">
      <c r="B1771" s="182"/>
      <c r="C1771" s="182"/>
      <c r="D1771" s="182"/>
      <c r="E1771" s="182"/>
      <c r="F1771" s="182"/>
      <c r="I1771" s="40"/>
      <c r="J1771" s="186"/>
      <c r="K1771" s="186"/>
      <c r="L1771" s="186"/>
      <c r="M1771" s="186"/>
      <c r="N1771" s="186"/>
      <c r="O1771" s="186"/>
      <c r="P1771" s="186"/>
      <c r="Q1771" s="182"/>
      <c r="R1771" s="182"/>
      <c r="S1771" s="182"/>
      <c r="T1771" s="186"/>
      <c r="U1771" s="186"/>
      <c r="AA1771" s="35"/>
      <c r="AB1771" s="35"/>
    </row>
    <row r="1772" spans="2:28" x14ac:dyDescent="0.2">
      <c r="B1772" s="182"/>
      <c r="C1772" s="182"/>
      <c r="D1772" s="182"/>
      <c r="E1772" s="182"/>
      <c r="F1772" s="182"/>
      <c r="I1772" s="40"/>
      <c r="J1772" s="186"/>
      <c r="K1772" s="186"/>
      <c r="L1772" s="186"/>
      <c r="M1772" s="186"/>
      <c r="N1772" s="186"/>
      <c r="O1772" s="186"/>
      <c r="P1772" s="186"/>
      <c r="Q1772" s="182"/>
      <c r="R1772" s="182"/>
      <c r="S1772" s="182"/>
      <c r="T1772" s="186"/>
      <c r="U1772" s="186"/>
      <c r="AA1772" s="35"/>
      <c r="AB1772" s="35"/>
    </row>
    <row r="1773" spans="2:28" x14ac:dyDescent="0.2">
      <c r="B1773" s="182"/>
      <c r="C1773" s="182"/>
      <c r="D1773" s="182"/>
      <c r="E1773" s="182"/>
      <c r="F1773" s="182"/>
      <c r="I1773" s="40"/>
      <c r="J1773" s="186"/>
      <c r="K1773" s="186"/>
      <c r="L1773" s="186"/>
      <c r="M1773" s="186"/>
      <c r="N1773" s="186"/>
      <c r="O1773" s="186"/>
      <c r="P1773" s="186"/>
      <c r="Q1773" s="182"/>
      <c r="R1773" s="182"/>
      <c r="S1773" s="182"/>
      <c r="T1773" s="186"/>
      <c r="U1773" s="186"/>
      <c r="AA1773" s="35"/>
      <c r="AB1773" s="35"/>
    </row>
    <row r="1774" spans="2:28" x14ac:dyDescent="0.2">
      <c r="B1774" s="182"/>
      <c r="C1774" s="182"/>
      <c r="D1774" s="182"/>
      <c r="E1774" s="182"/>
      <c r="F1774" s="182"/>
      <c r="I1774" s="40"/>
      <c r="J1774" s="186"/>
      <c r="K1774" s="186"/>
      <c r="L1774" s="186"/>
      <c r="M1774" s="186"/>
      <c r="N1774" s="186"/>
      <c r="O1774" s="186"/>
      <c r="P1774" s="186"/>
      <c r="Q1774" s="182"/>
      <c r="R1774" s="182"/>
      <c r="S1774" s="182"/>
      <c r="T1774" s="186"/>
      <c r="U1774" s="186"/>
      <c r="AA1774" s="35"/>
      <c r="AB1774" s="35"/>
    </row>
    <row r="1775" spans="2:28" x14ac:dyDescent="0.2">
      <c r="B1775" s="182"/>
      <c r="C1775" s="182"/>
      <c r="D1775" s="182"/>
      <c r="E1775" s="182"/>
      <c r="F1775" s="182"/>
      <c r="I1775" s="40"/>
      <c r="J1775" s="186"/>
      <c r="K1775" s="186"/>
      <c r="L1775" s="186"/>
      <c r="M1775" s="186"/>
      <c r="N1775" s="186"/>
      <c r="O1775" s="186"/>
      <c r="P1775" s="186"/>
      <c r="Q1775" s="182"/>
      <c r="R1775" s="182"/>
      <c r="S1775" s="182"/>
      <c r="T1775" s="186"/>
      <c r="U1775" s="186"/>
      <c r="AA1775" s="35"/>
      <c r="AB1775" s="35"/>
    </row>
    <row r="1776" spans="2:28" x14ac:dyDescent="0.2">
      <c r="B1776" s="182"/>
      <c r="C1776" s="182"/>
      <c r="D1776" s="182"/>
      <c r="E1776" s="182"/>
      <c r="F1776" s="182"/>
      <c r="I1776" s="40"/>
      <c r="J1776" s="186"/>
      <c r="K1776" s="186"/>
      <c r="L1776" s="186"/>
      <c r="M1776" s="186"/>
      <c r="N1776" s="186"/>
      <c r="O1776" s="186"/>
      <c r="P1776" s="186"/>
      <c r="Q1776" s="182"/>
      <c r="R1776" s="182"/>
      <c r="S1776" s="182"/>
      <c r="T1776" s="186"/>
      <c r="U1776" s="186"/>
      <c r="AA1776" s="35"/>
      <c r="AB1776" s="35"/>
    </row>
    <row r="1777" spans="2:28" x14ac:dyDescent="0.2">
      <c r="B1777" s="182"/>
      <c r="C1777" s="182"/>
      <c r="D1777" s="182"/>
      <c r="E1777" s="182"/>
      <c r="F1777" s="182"/>
      <c r="I1777" s="40"/>
      <c r="J1777" s="186"/>
      <c r="K1777" s="186"/>
      <c r="L1777" s="186"/>
      <c r="M1777" s="186"/>
      <c r="N1777" s="186"/>
      <c r="O1777" s="186"/>
      <c r="P1777" s="186"/>
      <c r="Q1777" s="182"/>
      <c r="R1777" s="182"/>
      <c r="S1777" s="182"/>
      <c r="T1777" s="186"/>
      <c r="U1777" s="186"/>
      <c r="AA1777" s="35"/>
      <c r="AB1777" s="35"/>
    </row>
    <row r="1778" spans="2:28" x14ac:dyDescent="0.2">
      <c r="B1778" s="182"/>
      <c r="C1778" s="182"/>
      <c r="D1778" s="182"/>
      <c r="E1778" s="182"/>
      <c r="F1778" s="182"/>
      <c r="I1778" s="40"/>
      <c r="J1778" s="186"/>
      <c r="K1778" s="186"/>
      <c r="L1778" s="186"/>
      <c r="M1778" s="186"/>
      <c r="N1778" s="186"/>
      <c r="O1778" s="186"/>
      <c r="P1778" s="186"/>
      <c r="Q1778" s="182"/>
      <c r="R1778" s="182"/>
      <c r="S1778" s="182"/>
      <c r="T1778" s="186"/>
      <c r="U1778" s="186"/>
      <c r="AA1778" s="35"/>
      <c r="AB1778" s="35"/>
    </row>
    <row r="1779" spans="2:28" x14ac:dyDescent="0.2">
      <c r="B1779" s="182"/>
      <c r="C1779" s="182"/>
      <c r="D1779" s="182"/>
      <c r="E1779" s="182"/>
      <c r="F1779" s="182"/>
      <c r="I1779" s="40"/>
      <c r="J1779" s="186"/>
      <c r="K1779" s="186"/>
      <c r="L1779" s="186"/>
      <c r="M1779" s="186"/>
      <c r="N1779" s="186"/>
      <c r="O1779" s="186"/>
      <c r="P1779" s="186"/>
      <c r="Q1779" s="182"/>
      <c r="R1779" s="182"/>
      <c r="S1779" s="182"/>
      <c r="T1779" s="186"/>
      <c r="U1779" s="186"/>
      <c r="AA1779" s="35"/>
      <c r="AB1779" s="35"/>
    </row>
    <row r="1780" spans="2:28" x14ac:dyDescent="0.2">
      <c r="B1780" s="182"/>
      <c r="C1780" s="182"/>
      <c r="D1780" s="182"/>
      <c r="E1780" s="182"/>
      <c r="F1780" s="182"/>
      <c r="I1780" s="40"/>
      <c r="J1780" s="186"/>
      <c r="K1780" s="186"/>
      <c r="L1780" s="186"/>
      <c r="M1780" s="186"/>
      <c r="N1780" s="186"/>
      <c r="O1780" s="186"/>
      <c r="P1780" s="186"/>
      <c r="Q1780" s="182"/>
      <c r="R1780" s="182"/>
      <c r="S1780" s="182"/>
      <c r="T1780" s="186"/>
      <c r="U1780" s="186"/>
      <c r="AA1780" s="35"/>
      <c r="AB1780" s="35"/>
    </row>
    <row r="1781" spans="2:28" x14ac:dyDescent="0.2">
      <c r="B1781" s="182"/>
      <c r="C1781" s="182"/>
      <c r="D1781" s="182"/>
      <c r="E1781" s="182"/>
      <c r="F1781" s="182"/>
      <c r="I1781" s="40"/>
      <c r="J1781" s="186"/>
      <c r="K1781" s="186"/>
      <c r="L1781" s="186"/>
      <c r="M1781" s="186"/>
      <c r="N1781" s="186"/>
      <c r="O1781" s="186"/>
      <c r="P1781" s="186"/>
      <c r="Q1781" s="182"/>
      <c r="R1781" s="182"/>
      <c r="S1781" s="182"/>
      <c r="T1781" s="186"/>
      <c r="U1781" s="186"/>
      <c r="AA1781" s="35"/>
      <c r="AB1781" s="35"/>
    </row>
    <row r="1782" spans="2:28" x14ac:dyDescent="0.2">
      <c r="B1782" s="182"/>
      <c r="C1782" s="182"/>
      <c r="D1782" s="182"/>
      <c r="E1782" s="182"/>
      <c r="F1782" s="182"/>
      <c r="I1782" s="40"/>
      <c r="J1782" s="186"/>
      <c r="K1782" s="186"/>
      <c r="L1782" s="186"/>
      <c r="M1782" s="186"/>
      <c r="N1782" s="186"/>
      <c r="O1782" s="186"/>
      <c r="P1782" s="186"/>
      <c r="Q1782" s="182"/>
      <c r="R1782" s="182"/>
      <c r="S1782" s="182"/>
      <c r="T1782" s="186"/>
      <c r="U1782" s="186"/>
      <c r="AA1782" s="35"/>
      <c r="AB1782" s="35"/>
    </row>
    <row r="1783" spans="2:28" x14ac:dyDescent="0.2">
      <c r="B1783" s="182"/>
      <c r="C1783" s="182"/>
      <c r="D1783" s="182"/>
      <c r="E1783" s="182"/>
      <c r="F1783" s="182"/>
      <c r="I1783" s="40"/>
      <c r="J1783" s="186"/>
      <c r="K1783" s="186"/>
      <c r="L1783" s="186"/>
      <c r="M1783" s="186"/>
      <c r="N1783" s="186"/>
      <c r="O1783" s="186"/>
      <c r="P1783" s="186"/>
      <c r="Q1783" s="182"/>
      <c r="R1783" s="182"/>
      <c r="S1783" s="182"/>
      <c r="T1783" s="186"/>
      <c r="U1783" s="186"/>
      <c r="AA1783" s="35"/>
      <c r="AB1783" s="35"/>
    </row>
    <row r="1784" spans="2:28" x14ac:dyDescent="0.2">
      <c r="B1784" s="182"/>
      <c r="C1784" s="182"/>
      <c r="D1784" s="182"/>
      <c r="E1784" s="182"/>
      <c r="F1784" s="182"/>
      <c r="I1784" s="40"/>
      <c r="J1784" s="186"/>
      <c r="K1784" s="186"/>
      <c r="L1784" s="186"/>
      <c r="M1784" s="186"/>
      <c r="N1784" s="186"/>
      <c r="O1784" s="186"/>
      <c r="P1784" s="186"/>
      <c r="Q1784" s="182"/>
      <c r="R1784" s="182"/>
      <c r="S1784" s="182"/>
      <c r="T1784" s="186"/>
      <c r="U1784" s="186"/>
      <c r="AA1784" s="35"/>
      <c r="AB1784" s="35"/>
    </row>
    <row r="1785" spans="2:28" x14ac:dyDescent="0.2">
      <c r="B1785" s="182"/>
      <c r="C1785" s="182"/>
      <c r="D1785" s="182"/>
      <c r="E1785" s="182"/>
      <c r="F1785" s="182"/>
      <c r="I1785" s="40"/>
      <c r="J1785" s="186"/>
      <c r="K1785" s="186"/>
      <c r="L1785" s="186"/>
      <c r="M1785" s="186"/>
      <c r="N1785" s="186"/>
      <c r="O1785" s="186"/>
      <c r="P1785" s="186"/>
      <c r="Q1785" s="182"/>
      <c r="R1785" s="182"/>
      <c r="S1785" s="182"/>
      <c r="T1785" s="186"/>
      <c r="U1785" s="186"/>
      <c r="AA1785" s="35"/>
      <c r="AB1785" s="35"/>
    </row>
    <row r="1786" spans="2:28" x14ac:dyDescent="0.2">
      <c r="B1786" s="182"/>
      <c r="C1786" s="182"/>
      <c r="D1786" s="182"/>
      <c r="E1786" s="182"/>
      <c r="F1786" s="182"/>
      <c r="I1786" s="40"/>
      <c r="J1786" s="186"/>
      <c r="K1786" s="186"/>
      <c r="L1786" s="186"/>
      <c r="M1786" s="186"/>
      <c r="N1786" s="186"/>
      <c r="O1786" s="186"/>
      <c r="P1786" s="186"/>
      <c r="Q1786" s="182"/>
      <c r="R1786" s="182"/>
      <c r="S1786" s="182"/>
      <c r="T1786" s="186"/>
      <c r="U1786" s="186"/>
      <c r="AA1786" s="35"/>
      <c r="AB1786" s="35"/>
    </row>
    <row r="1787" spans="2:28" x14ac:dyDescent="0.2">
      <c r="B1787" s="182"/>
      <c r="C1787" s="182"/>
      <c r="D1787" s="182"/>
      <c r="E1787" s="182"/>
      <c r="F1787" s="182"/>
      <c r="I1787" s="40"/>
      <c r="J1787" s="186"/>
      <c r="K1787" s="186"/>
      <c r="L1787" s="186"/>
      <c r="M1787" s="186"/>
      <c r="N1787" s="186"/>
      <c r="O1787" s="186"/>
      <c r="P1787" s="186"/>
      <c r="Q1787" s="182"/>
      <c r="R1787" s="182"/>
      <c r="S1787" s="182"/>
      <c r="T1787" s="186"/>
      <c r="U1787" s="186"/>
      <c r="AA1787" s="35"/>
      <c r="AB1787" s="35"/>
    </row>
    <row r="1788" spans="2:28" x14ac:dyDescent="0.2">
      <c r="B1788" s="182"/>
      <c r="C1788" s="182"/>
      <c r="D1788" s="182"/>
      <c r="E1788" s="182"/>
      <c r="F1788" s="182"/>
      <c r="I1788" s="40"/>
      <c r="J1788" s="186"/>
      <c r="K1788" s="186"/>
      <c r="L1788" s="186"/>
      <c r="M1788" s="186"/>
      <c r="N1788" s="186"/>
      <c r="O1788" s="186"/>
      <c r="P1788" s="186"/>
      <c r="Q1788" s="182"/>
      <c r="R1788" s="182"/>
      <c r="S1788" s="182"/>
      <c r="T1788" s="186"/>
      <c r="U1788" s="186"/>
      <c r="AA1788" s="35"/>
      <c r="AB1788" s="35"/>
    </row>
    <row r="1789" spans="2:28" x14ac:dyDescent="0.2">
      <c r="B1789" s="182"/>
      <c r="C1789" s="182"/>
      <c r="D1789" s="182"/>
      <c r="E1789" s="182"/>
      <c r="F1789" s="182"/>
      <c r="I1789" s="40"/>
      <c r="J1789" s="186"/>
      <c r="K1789" s="186"/>
      <c r="L1789" s="186"/>
      <c r="M1789" s="186"/>
      <c r="N1789" s="186"/>
      <c r="O1789" s="186"/>
      <c r="P1789" s="186"/>
      <c r="Q1789" s="182"/>
      <c r="R1789" s="182"/>
      <c r="S1789" s="182"/>
      <c r="T1789" s="186"/>
      <c r="U1789" s="186"/>
      <c r="AA1789" s="35"/>
      <c r="AB1789" s="35"/>
    </row>
    <row r="1790" spans="2:28" x14ac:dyDescent="0.2">
      <c r="B1790" s="182"/>
      <c r="C1790" s="182"/>
      <c r="D1790" s="182"/>
      <c r="E1790" s="182"/>
      <c r="F1790" s="182"/>
      <c r="I1790" s="40"/>
      <c r="J1790" s="186"/>
      <c r="K1790" s="186"/>
      <c r="L1790" s="186"/>
      <c r="M1790" s="186"/>
      <c r="N1790" s="186"/>
      <c r="O1790" s="186"/>
      <c r="P1790" s="186"/>
      <c r="Q1790" s="182"/>
      <c r="R1790" s="182"/>
      <c r="S1790" s="182"/>
      <c r="T1790" s="186"/>
      <c r="U1790" s="186"/>
      <c r="AA1790" s="35"/>
      <c r="AB1790" s="35"/>
    </row>
    <row r="1791" spans="2:28" x14ac:dyDescent="0.2">
      <c r="B1791" s="182"/>
      <c r="C1791" s="182"/>
      <c r="D1791" s="182"/>
      <c r="E1791" s="182"/>
      <c r="F1791" s="182"/>
      <c r="I1791" s="40"/>
      <c r="J1791" s="186"/>
      <c r="K1791" s="186"/>
      <c r="L1791" s="186"/>
      <c r="M1791" s="186"/>
      <c r="N1791" s="186"/>
      <c r="O1791" s="186"/>
      <c r="P1791" s="186"/>
      <c r="Q1791" s="182"/>
      <c r="R1791" s="182"/>
      <c r="S1791" s="182"/>
      <c r="T1791" s="186"/>
      <c r="U1791" s="186"/>
      <c r="AA1791" s="35"/>
      <c r="AB1791" s="35"/>
    </row>
    <row r="1792" spans="2:28" x14ac:dyDescent="0.2">
      <c r="B1792" s="182"/>
      <c r="C1792" s="182"/>
      <c r="D1792" s="182"/>
      <c r="E1792" s="182"/>
      <c r="F1792" s="182"/>
      <c r="I1792" s="40"/>
      <c r="J1792" s="186"/>
      <c r="K1792" s="186"/>
      <c r="L1792" s="186"/>
      <c r="M1792" s="186"/>
      <c r="N1792" s="186"/>
      <c r="O1792" s="186"/>
      <c r="P1792" s="186"/>
      <c r="Q1792" s="182"/>
      <c r="R1792" s="182"/>
      <c r="S1792" s="182"/>
      <c r="T1792" s="186"/>
      <c r="U1792" s="186"/>
      <c r="AA1792" s="35"/>
      <c r="AB1792" s="35"/>
    </row>
    <row r="1793" spans="2:28" x14ac:dyDescent="0.2">
      <c r="B1793" s="182"/>
      <c r="C1793" s="182"/>
      <c r="D1793" s="182"/>
      <c r="E1793" s="182"/>
      <c r="F1793" s="182"/>
      <c r="I1793" s="40"/>
      <c r="J1793" s="186"/>
      <c r="K1793" s="186"/>
      <c r="L1793" s="186"/>
      <c r="M1793" s="186"/>
      <c r="N1793" s="186"/>
      <c r="O1793" s="186"/>
      <c r="P1793" s="186"/>
      <c r="Q1793" s="182"/>
      <c r="R1793" s="182"/>
      <c r="S1793" s="182"/>
      <c r="T1793" s="186"/>
      <c r="U1793" s="186"/>
      <c r="AA1793" s="35"/>
      <c r="AB1793" s="35"/>
    </row>
    <row r="1794" spans="2:28" x14ac:dyDescent="0.2">
      <c r="B1794" s="182"/>
      <c r="C1794" s="182"/>
      <c r="D1794" s="182"/>
      <c r="E1794" s="182"/>
      <c r="F1794" s="182"/>
      <c r="I1794" s="40"/>
      <c r="J1794" s="186"/>
      <c r="K1794" s="186"/>
      <c r="L1794" s="186"/>
      <c r="M1794" s="186"/>
      <c r="N1794" s="186"/>
      <c r="O1794" s="186"/>
      <c r="P1794" s="186"/>
      <c r="Q1794" s="182"/>
      <c r="R1794" s="182"/>
      <c r="S1794" s="182"/>
      <c r="T1794" s="186"/>
      <c r="U1794" s="186"/>
      <c r="AA1794" s="35"/>
      <c r="AB1794" s="35"/>
    </row>
    <row r="1795" spans="2:28" x14ac:dyDescent="0.2">
      <c r="B1795" s="182"/>
      <c r="C1795" s="182"/>
      <c r="D1795" s="182"/>
      <c r="E1795" s="182"/>
      <c r="F1795" s="182"/>
      <c r="I1795" s="40"/>
      <c r="J1795" s="186"/>
      <c r="K1795" s="186"/>
      <c r="L1795" s="186"/>
      <c r="M1795" s="186"/>
      <c r="N1795" s="186"/>
      <c r="O1795" s="186"/>
      <c r="P1795" s="186"/>
      <c r="Q1795" s="182"/>
      <c r="R1795" s="182"/>
      <c r="S1795" s="182"/>
      <c r="T1795" s="186"/>
      <c r="U1795" s="186"/>
      <c r="AA1795" s="35"/>
      <c r="AB1795" s="35"/>
    </row>
    <row r="1796" spans="2:28" x14ac:dyDescent="0.2">
      <c r="B1796" s="182"/>
      <c r="C1796" s="182"/>
      <c r="D1796" s="182"/>
      <c r="E1796" s="182"/>
      <c r="F1796" s="182"/>
      <c r="I1796" s="40"/>
      <c r="J1796" s="186"/>
      <c r="K1796" s="186"/>
      <c r="L1796" s="186"/>
      <c r="M1796" s="186"/>
      <c r="N1796" s="186"/>
      <c r="O1796" s="186"/>
      <c r="P1796" s="186"/>
      <c r="Q1796" s="182"/>
      <c r="R1796" s="182"/>
      <c r="S1796" s="182"/>
      <c r="T1796" s="186"/>
      <c r="U1796" s="186"/>
      <c r="AA1796" s="35"/>
      <c r="AB1796" s="35"/>
    </row>
    <row r="1797" spans="2:28" x14ac:dyDescent="0.2">
      <c r="B1797" s="182"/>
      <c r="C1797" s="182"/>
      <c r="D1797" s="182"/>
      <c r="E1797" s="182"/>
      <c r="F1797" s="182"/>
      <c r="I1797" s="40"/>
      <c r="J1797" s="186"/>
      <c r="K1797" s="186"/>
      <c r="L1797" s="186"/>
      <c r="M1797" s="186"/>
      <c r="N1797" s="186"/>
      <c r="O1797" s="186"/>
      <c r="P1797" s="186"/>
      <c r="Q1797" s="182"/>
      <c r="R1797" s="182"/>
      <c r="S1797" s="182"/>
      <c r="T1797" s="186"/>
      <c r="U1797" s="186"/>
      <c r="AA1797" s="35"/>
      <c r="AB1797" s="35"/>
    </row>
    <row r="1798" spans="2:28" x14ac:dyDescent="0.2">
      <c r="B1798" s="182"/>
      <c r="C1798" s="182"/>
      <c r="D1798" s="182"/>
      <c r="E1798" s="182"/>
      <c r="F1798" s="182"/>
      <c r="I1798" s="40"/>
      <c r="J1798" s="186"/>
      <c r="K1798" s="186"/>
      <c r="L1798" s="186"/>
      <c r="M1798" s="186"/>
      <c r="N1798" s="186"/>
      <c r="O1798" s="186"/>
      <c r="P1798" s="186"/>
      <c r="Q1798" s="182"/>
      <c r="R1798" s="182"/>
      <c r="S1798" s="182"/>
      <c r="T1798" s="186"/>
      <c r="U1798" s="186"/>
      <c r="AA1798" s="35"/>
      <c r="AB1798" s="35"/>
    </row>
    <row r="1799" spans="2:28" x14ac:dyDescent="0.2">
      <c r="B1799" s="182"/>
      <c r="C1799" s="182"/>
      <c r="D1799" s="182"/>
      <c r="E1799" s="182"/>
      <c r="F1799" s="182"/>
      <c r="I1799" s="40"/>
      <c r="J1799" s="186"/>
      <c r="K1799" s="186"/>
      <c r="L1799" s="186"/>
      <c r="M1799" s="186"/>
      <c r="N1799" s="186"/>
      <c r="O1799" s="186"/>
      <c r="P1799" s="186"/>
      <c r="Q1799" s="182"/>
      <c r="R1799" s="182"/>
      <c r="S1799" s="182"/>
      <c r="T1799" s="186"/>
      <c r="U1799" s="186"/>
      <c r="AA1799" s="35"/>
      <c r="AB1799" s="35"/>
    </row>
    <row r="1800" spans="2:28" x14ac:dyDescent="0.2">
      <c r="B1800" s="182"/>
      <c r="C1800" s="182"/>
      <c r="D1800" s="182"/>
      <c r="E1800" s="182"/>
      <c r="F1800" s="182"/>
      <c r="I1800" s="40"/>
      <c r="J1800" s="186"/>
      <c r="K1800" s="186"/>
      <c r="L1800" s="186"/>
      <c r="M1800" s="186"/>
      <c r="N1800" s="186"/>
      <c r="O1800" s="186"/>
      <c r="P1800" s="186"/>
      <c r="Q1800" s="182"/>
      <c r="R1800" s="182"/>
      <c r="S1800" s="182"/>
      <c r="T1800" s="186"/>
      <c r="U1800" s="186"/>
      <c r="AA1800" s="35"/>
      <c r="AB1800" s="35"/>
    </row>
    <row r="1801" spans="2:28" x14ac:dyDescent="0.2">
      <c r="B1801" s="182"/>
      <c r="C1801" s="182"/>
      <c r="D1801" s="182"/>
      <c r="E1801" s="182"/>
      <c r="F1801" s="182"/>
      <c r="I1801" s="40"/>
      <c r="J1801" s="186"/>
      <c r="K1801" s="186"/>
      <c r="L1801" s="186"/>
      <c r="M1801" s="186"/>
      <c r="N1801" s="186"/>
      <c r="O1801" s="186"/>
      <c r="P1801" s="186"/>
      <c r="Q1801" s="182"/>
      <c r="R1801" s="182"/>
      <c r="S1801" s="182"/>
      <c r="T1801" s="186"/>
      <c r="U1801" s="186"/>
      <c r="AA1801" s="35"/>
      <c r="AB1801" s="35"/>
    </row>
    <row r="1802" spans="2:28" x14ac:dyDescent="0.2">
      <c r="B1802" s="182"/>
      <c r="C1802" s="182"/>
      <c r="D1802" s="182"/>
      <c r="E1802" s="182"/>
      <c r="F1802" s="182"/>
      <c r="I1802" s="40"/>
      <c r="J1802" s="186"/>
      <c r="K1802" s="186"/>
      <c r="L1802" s="186"/>
      <c r="M1802" s="186"/>
      <c r="N1802" s="186"/>
      <c r="O1802" s="186"/>
      <c r="P1802" s="186"/>
      <c r="Q1802" s="182"/>
      <c r="R1802" s="182"/>
      <c r="S1802" s="182"/>
      <c r="T1802" s="186"/>
      <c r="U1802" s="186"/>
      <c r="AA1802" s="35"/>
      <c r="AB1802" s="35"/>
    </row>
    <row r="1803" spans="2:28" x14ac:dyDescent="0.2">
      <c r="B1803" s="182"/>
      <c r="C1803" s="182"/>
      <c r="D1803" s="182"/>
      <c r="E1803" s="182"/>
      <c r="F1803" s="182"/>
      <c r="I1803" s="40"/>
      <c r="J1803" s="186"/>
      <c r="K1803" s="186"/>
      <c r="L1803" s="186"/>
      <c r="M1803" s="186"/>
      <c r="N1803" s="186"/>
      <c r="O1803" s="186"/>
      <c r="P1803" s="186"/>
      <c r="Q1803" s="182"/>
      <c r="R1803" s="182"/>
      <c r="S1803" s="182"/>
      <c r="T1803" s="186"/>
      <c r="U1803" s="186"/>
      <c r="AA1803" s="35"/>
      <c r="AB1803" s="35"/>
    </row>
    <row r="1804" spans="2:28" x14ac:dyDescent="0.2">
      <c r="B1804" s="182"/>
      <c r="C1804" s="182"/>
      <c r="D1804" s="182"/>
      <c r="E1804" s="182"/>
      <c r="F1804" s="182"/>
      <c r="I1804" s="40"/>
      <c r="J1804" s="186"/>
      <c r="K1804" s="186"/>
      <c r="L1804" s="186"/>
      <c r="M1804" s="186"/>
      <c r="N1804" s="186"/>
      <c r="O1804" s="186"/>
      <c r="P1804" s="186"/>
      <c r="Q1804" s="182"/>
      <c r="R1804" s="182"/>
      <c r="S1804" s="182"/>
      <c r="T1804" s="186"/>
      <c r="U1804" s="186"/>
      <c r="AA1804" s="35"/>
      <c r="AB1804" s="35"/>
    </row>
    <row r="1805" spans="2:28" x14ac:dyDescent="0.2">
      <c r="B1805" s="182"/>
      <c r="C1805" s="182"/>
      <c r="D1805" s="182"/>
      <c r="E1805" s="182"/>
      <c r="F1805" s="182"/>
      <c r="I1805" s="40"/>
      <c r="J1805" s="186"/>
      <c r="K1805" s="186"/>
      <c r="L1805" s="186"/>
      <c r="M1805" s="186"/>
      <c r="N1805" s="186"/>
      <c r="O1805" s="186"/>
      <c r="P1805" s="186"/>
      <c r="Q1805" s="182"/>
      <c r="R1805" s="182"/>
      <c r="S1805" s="182"/>
      <c r="T1805" s="186"/>
      <c r="U1805" s="186"/>
      <c r="AA1805" s="35"/>
      <c r="AB1805" s="35"/>
    </row>
    <row r="1806" spans="2:28" x14ac:dyDescent="0.2">
      <c r="B1806" s="182"/>
      <c r="C1806" s="182"/>
      <c r="D1806" s="182"/>
      <c r="E1806" s="182"/>
      <c r="F1806" s="182"/>
      <c r="I1806" s="40"/>
      <c r="J1806" s="186"/>
      <c r="K1806" s="186"/>
      <c r="L1806" s="186"/>
      <c r="M1806" s="186"/>
      <c r="N1806" s="186"/>
      <c r="O1806" s="186"/>
      <c r="P1806" s="186"/>
      <c r="Q1806" s="182"/>
      <c r="R1806" s="182"/>
      <c r="S1806" s="182"/>
      <c r="T1806" s="186"/>
      <c r="U1806" s="186"/>
      <c r="AA1806" s="35"/>
      <c r="AB1806" s="35"/>
    </row>
    <row r="1807" spans="2:28" x14ac:dyDescent="0.2">
      <c r="B1807" s="182"/>
      <c r="C1807" s="182"/>
      <c r="D1807" s="182"/>
      <c r="E1807" s="182"/>
      <c r="F1807" s="182"/>
      <c r="I1807" s="40"/>
      <c r="J1807" s="186"/>
      <c r="K1807" s="186"/>
      <c r="L1807" s="186"/>
      <c r="M1807" s="186"/>
      <c r="N1807" s="186"/>
      <c r="O1807" s="186"/>
      <c r="P1807" s="186"/>
      <c r="Q1807" s="182"/>
      <c r="R1807" s="182"/>
      <c r="S1807" s="182"/>
      <c r="T1807" s="186"/>
      <c r="U1807" s="186"/>
      <c r="AA1807" s="35"/>
      <c r="AB1807" s="35"/>
    </row>
    <row r="1808" spans="2:28" x14ac:dyDescent="0.2">
      <c r="B1808" s="182"/>
      <c r="C1808" s="182"/>
      <c r="D1808" s="182"/>
      <c r="E1808" s="182"/>
      <c r="F1808" s="182"/>
      <c r="I1808" s="40"/>
      <c r="J1808" s="186"/>
      <c r="K1808" s="186"/>
      <c r="L1808" s="186"/>
      <c r="M1808" s="186"/>
      <c r="N1808" s="186"/>
      <c r="O1808" s="186"/>
      <c r="P1808" s="186"/>
      <c r="Q1808" s="182"/>
      <c r="R1808" s="182"/>
      <c r="S1808" s="182"/>
      <c r="T1808" s="186"/>
      <c r="U1808" s="186"/>
      <c r="AA1808" s="35"/>
      <c r="AB1808" s="35"/>
    </row>
    <row r="1809" spans="2:28" x14ac:dyDescent="0.2">
      <c r="B1809" s="182"/>
      <c r="C1809" s="182"/>
      <c r="D1809" s="182"/>
      <c r="E1809" s="182"/>
      <c r="F1809" s="182"/>
      <c r="I1809" s="40"/>
      <c r="J1809" s="186"/>
      <c r="K1809" s="186"/>
      <c r="L1809" s="186"/>
      <c r="M1809" s="186"/>
      <c r="N1809" s="186"/>
      <c r="O1809" s="186"/>
      <c r="P1809" s="186"/>
      <c r="Q1809" s="182"/>
      <c r="R1809" s="182"/>
      <c r="S1809" s="182"/>
      <c r="T1809" s="186"/>
      <c r="U1809" s="186"/>
      <c r="AA1809" s="35"/>
      <c r="AB1809" s="35"/>
    </row>
    <row r="1810" spans="2:28" x14ac:dyDescent="0.2">
      <c r="B1810" s="182"/>
      <c r="C1810" s="182"/>
      <c r="D1810" s="182"/>
      <c r="E1810" s="182"/>
      <c r="F1810" s="182"/>
      <c r="I1810" s="40"/>
      <c r="J1810" s="186"/>
      <c r="K1810" s="186"/>
      <c r="L1810" s="186"/>
      <c r="M1810" s="186"/>
      <c r="N1810" s="186"/>
      <c r="O1810" s="186"/>
      <c r="P1810" s="186"/>
      <c r="Q1810" s="182"/>
      <c r="R1810" s="182"/>
      <c r="S1810" s="182"/>
      <c r="T1810" s="186"/>
      <c r="U1810" s="186"/>
      <c r="AA1810" s="35"/>
      <c r="AB1810" s="35"/>
    </row>
    <row r="1811" spans="2:28" x14ac:dyDescent="0.2">
      <c r="B1811" s="182"/>
      <c r="C1811" s="182"/>
      <c r="D1811" s="182"/>
      <c r="E1811" s="182"/>
      <c r="F1811" s="182"/>
      <c r="I1811" s="40"/>
      <c r="J1811" s="186"/>
      <c r="K1811" s="186"/>
      <c r="L1811" s="186"/>
      <c r="M1811" s="186"/>
      <c r="N1811" s="186"/>
      <c r="O1811" s="186"/>
      <c r="P1811" s="186"/>
      <c r="Q1811" s="182"/>
      <c r="R1811" s="182"/>
      <c r="S1811" s="182"/>
      <c r="T1811" s="186"/>
      <c r="U1811" s="186"/>
      <c r="AA1811" s="35"/>
      <c r="AB1811" s="35"/>
    </row>
    <row r="1812" spans="2:28" x14ac:dyDescent="0.2">
      <c r="B1812" s="182"/>
      <c r="C1812" s="182"/>
      <c r="D1812" s="182"/>
      <c r="E1812" s="182"/>
      <c r="F1812" s="182"/>
      <c r="I1812" s="40"/>
      <c r="J1812" s="186"/>
      <c r="K1812" s="186"/>
      <c r="L1812" s="186"/>
      <c r="M1812" s="186"/>
      <c r="N1812" s="186"/>
      <c r="O1812" s="186"/>
      <c r="P1812" s="186"/>
      <c r="Q1812" s="182"/>
      <c r="R1812" s="182"/>
      <c r="S1812" s="182"/>
      <c r="T1812" s="186"/>
      <c r="U1812" s="186"/>
      <c r="AA1812" s="35"/>
      <c r="AB1812" s="35"/>
    </row>
    <row r="1813" spans="2:28" x14ac:dyDescent="0.2">
      <c r="B1813" s="182"/>
      <c r="C1813" s="182"/>
      <c r="D1813" s="182"/>
      <c r="E1813" s="182"/>
      <c r="F1813" s="182"/>
      <c r="I1813" s="40"/>
      <c r="J1813" s="186"/>
      <c r="K1813" s="186"/>
      <c r="L1813" s="186"/>
      <c r="M1813" s="186"/>
      <c r="N1813" s="186"/>
      <c r="O1813" s="186"/>
      <c r="P1813" s="186"/>
      <c r="Q1813" s="182"/>
      <c r="R1813" s="182"/>
      <c r="S1813" s="182"/>
      <c r="T1813" s="186"/>
      <c r="U1813" s="186"/>
      <c r="AA1813" s="35"/>
      <c r="AB1813" s="35"/>
    </row>
    <row r="1814" spans="2:28" x14ac:dyDescent="0.2">
      <c r="B1814" s="182"/>
      <c r="C1814" s="182"/>
      <c r="D1814" s="182"/>
      <c r="E1814" s="182"/>
      <c r="F1814" s="182"/>
      <c r="I1814" s="40"/>
      <c r="J1814" s="186"/>
      <c r="K1814" s="186"/>
      <c r="L1814" s="186"/>
      <c r="M1814" s="186"/>
      <c r="N1814" s="186"/>
      <c r="O1814" s="186"/>
      <c r="P1814" s="186"/>
      <c r="Q1814" s="182"/>
      <c r="R1814" s="182"/>
      <c r="S1814" s="182"/>
      <c r="T1814" s="186"/>
      <c r="U1814" s="186"/>
      <c r="AA1814" s="35"/>
      <c r="AB1814" s="35"/>
    </row>
    <row r="1815" spans="2:28" x14ac:dyDescent="0.2">
      <c r="B1815" s="182"/>
      <c r="C1815" s="182"/>
      <c r="D1815" s="182"/>
      <c r="E1815" s="182"/>
      <c r="F1815" s="182"/>
      <c r="I1815" s="40"/>
      <c r="J1815" s="186"/>
      <c r="K1815" s="186"/>
      <c r="L1815" s="186"/>
      <c r="M1815" s="186"/>
      <c r="N1815" s="186"/>
      <c r="O1815" s="186"/>
      <c r="P1815" s="186"/>
      <c r="Q1815" s="182"/>
      <c r="R1815" s="182"/>
      <c r="S1815" s="182"/>
      <c r="T1815" s="186"/>
      <c r="U1815" s="186"/>
      <c r="AA1815" s="35"/>
      <c r="AB1815" s="35"/>
    </row>
    <row r="1816" spans="2:28" x14ac:dyDescent="0.2">
      <c r="B1816" s="182"/>
      <c r="C1816" s="182"/>
      <c r="D1816" s="182"/>
      <c r="E1816" s="182"/>
      <c r="F1816" s="182"/>
      <c r="I1816" s="40"/>
      <c r="J1816" s="186"/>
      <c r="K1816" s="186"/>
      <c r="L1816" s="186"/>
      <c r="M1816" s="186"/>
      <c r="N1816" s="186"/>
      <c r="O1816" s="186"/>
      <c r="P1816" s="186"/>
      <c r="Q1816" s="182"/>
      <c r="R1816" s="182"/>
      <c r="S1816" s="182"/>
      <c r="T1816" s="186"/>
      <c r="U1816" s="186"/>
      <c r="AA1816" s="35"/>
      <c r="AB1816" s="35"/>
    </row>
    <row r="1817" spans="2:28" x14ac:dyDescent="0.2">
      <c r="B1817" s="182"/>
      <c r="C1817" s="182"/>
      <c r="D1817" s="182"/>
      <c r="E1817" s="182"/>
      <c r="F1817" s="182"/>
      <c r="I1817" s="40"/>
      <c r="J1817" s="186"/>
      <c r="K1817" s="186"/>
      <c r="L1817" s="186"/>
      <c r="M1817" s="186"/>
      <c r="N1817" s="186"/>
      <c r="O1817" s="186"/>
      <c r="P1817" s="186"/>
      <c r="Q1817" s="182"/>
      <c r="R1817" s="182"/>
      <c r="S1817" s="182"/>
      <c r="T1817" s="186"/>
      <c r="U1817" s="186"/>
      <c r="AA1817" s="35"/>
      <c r="AB1817" s="35"/>
    </row>
    <row r="1818" spans="2:28" x14ac:dyDescent="0.2">
      <c r="B1818" s="182"/>
      <c r="C1818" s="182"/>
      <c r="D1818" s="182"/>
      <c r="E1818" s="182"/>
      <c r="F1818" s="182"/>
      <c r="I1818" s="40"/>
      <c r="J1818" s="186"/>
      <c r="K1818" s="186"/>
      <c r="L1818" s="186"/>
      <c r="M1818" s="186"/>
      <c r="N1818" s="186"/>
      <c r="O1818" s="186"/>
      <c r="P1818" s="186"/>
      <c r="Q1818" s="182"/>
      <c r="R1818" s="182"/>
      <c r="S1818" s="182"/>
      <c r="T1818" s="186"/>
      <c r="U1818" s="186"/>
      <c r="AA1818" s="35"/>
      <c r="AB1818" s="35"/>
    </row>
    <row r="1819" spans="2:28" x14ac:dyDescent="0.2">
      <c r="B1819" s="182"/>
      <c r="C1819" s="182"/>
      <c r="D1819" s="182"/>
      <c r="E1819" s="182"/>
      <c r="F1819" s="182"/>
      <c r="I1819" s="40"/>
      <c r="J1819" s="186"/>
      <c r="K1819" s="186"/>
      <c r="L1819" s="186"/>
      <c r="M1819" s="186"/>
      <c r="N1819" s="186"/>
      <c r="O1819" s="186"/>
      <c r="P1819" s="186"/>
      <c r="Q1819" s="182"/>
      <c r="R1819" s="182"/>
      <c r="S1819" s="182"/>
      <c r="T1819" s="186"/>
      <c r="U1819" s="186"/>
      <c r="AA1819" s="35"/>
      <c r="AB1819" s="35"/>
    </row>
    <row r="1820" spans="2:28" x14ac:dyDescent="0.2">
      <c r="B1820" s="182"/>
      <c r="C1820" s="182"/>
      <c r="D1820" s="182"/>
      <c r="E1820" s="182"/>
      <c r="F1820" s="182"/>
      <c r="I1820" s="40"/>
      <c r="J1820" s="186"/>
      <c r="K1820" s="186"/>
      <c r="L1820" s="186"/>
      <c r="M1820" s="186"/>
      <c r="N1820" s="186"/>
      <c r="O1820" s="186"/>
      <c r="P1820" s="186"/>
      <c r="Q1820" s="182"/>
      <c r="R1820" s="182"/>
      <c r="S1820" s="182"/>
      <c r="T1820" s="186"/>
      <c r="U1820" s="186"/>
      <c r="AA1820" s="35"/>
      <c r="AB1820" s="35"/>
    </row>
    <row r="1821" spans="2:28" x14ac:dyDescent="0.2">
      <c r="B1821" s="182"/>
      <c r="C1821" s="182"/>
      <c r="D1821" s="182"/>
      <c r="E1821" s="182"/>
      <c r="F1821" s="182"/>
      <c r="I1821" s="40"/>
      <c r="J1821" s="186"/>
      <c r="K1821" s="186"/>
      <c r="L1821" s="186"/>
      <c r="M1821" s="186"/>
      <c r="N1821" s="186"/>
      <c r="O1821" s="186"/>
      <c r="P1821" s="186"/>
      <c r="Q1821" s="182"/>
      <c r="R1821" s="182"/>
      <c r="S1821" s="182"/>
      <c r="T1821" s="186"/>
      <c r="U1821" s="186"/>
      <c r="AA1821" s="35"/>
      <c r="AB1821" s="35"/>
    </row>
    <row r="1822" spans="2:28" x14ac:dyDescent="0.2">
      <c r="B1822" s="182"/>
      <c r="C1822" s="182"/>
      <c r="D1822" s="182"/>
      <c r="E1822" s="182"/>
      <c r="F1822" s="182"/>
      <c r="I1822" s="40"/>
      <c r="J1822" s="186"/>
      <c r="K1822" s="186"/>
      <c r="L1822" s="186"/>
      <c r="M1822" s="186"/>
      <c r="N1822" s="186"/>
      <c r="O1822" s="186"/>
      <c r="P1822" s="186"/>
      <c r="Q1822" s="182"/>
      <c r="R1822" s="182"/>
      <c r="S1822" s="182"/>
      <c r="T1822" s="186"/>
      <c r="U1822" s="186"/>
      <c r="AA1822" s="35"/>
      <c r="AB1822" s="35"/>
    </row>
    <row r="1823" spans="2:28" x14ac:dyDescent="0.2">
      <c r="B1823" s="182"/>
      <c r="C1823" s="182"/>
      <c r="D1823" s="182"/>
      <c r="E1823" s="182"/>
      <c r="F1823" s="182"/>
      <c r="I1823" s="40"/>
      <c r="J1823" s="186"/>
      <c r="K1823" s="186"/>
      <c r="L1823" s="186"/>
      <c r="M1823" s="186"/>
      <c r="N1823" s="186"/>
      <c r="O1823" s="186"/>
      <c r="P1823" s="186"/>
      <c r="Q1823" s="182"/>
      <c r="R1823" s="182"/>
      <c r="S1823" s="182"/>
      <c r="T1823" s="186"/>
      <c r="U1823" s="186"/>
      <c r="AA1823" s="35"/>
      <c r="AB1823" s="35"/>
    </row>
    <row r="1824" spans="2:28" x14ac:dyDescent="0.2">
      <c r="B1824" s="182"/>
      <c r="C1824" s="182"/>
      <c r="D1824" s="182"/>
      <c r="E1824" s="182"/>
      <c r="F1824" s="182"/>
      <c r="I1824" s="40"/>
      <c r="J1824" s="186"/>
      <c r="K1824" s="186"/>
      <c r="L1824" s="186"/>
      <c r="M1824" s="186"/>
      <c r="N1824" s="186"/>
      <c r="O1824" s="186"/>
      <c r="P1824" s="186"/>
      <c r="Q1824" s="182"/>
      <c r="R1824" s="182"/>
      <c r="S1824" s="182"/>
      <c r="T1824" s="186"/>
      <c r="U1824" s="186"/>
      <c r="AA1824" s="35"/>
      <c r="AB1824" s="35"/>
    </row>
    <row r="1825" spans="2:28" x14ac:dyDescent="0.2">
      <c r="B1825" s="182"/>
      <c r="C1825" s="182"/>
      <c r="D1825" s="182"/>
      <c r="E1825" s="182"/>
      <c r="F1825" s="182"/>
      <c r="I1825" s="40"/>
      <c r="J1825" s="186"/>
      <c r="K1825" s="186"/>
      <c r="L1825" s="186"/>
      <c r="M1825" s="186"/>
      <c r="N1825" s="186"/>
      <c r="O1825" s="186"/>
      <c r="P1825" s="186"/>
      <c r="Q1825" s="182"/>
      <c r="R1825" s="182"/>
      <c r="S1825" s="182"/>
      <c r="T1825" s="186"/>
      <c r="U1825" s="186"/>
      <c r="AA1825" s="35"/>
      <c r="AB1825" s="35"/>
    </row>
    <row r="1826" spans="2:28" x14ac:dyDescent="0.2">
      <c r="B1826" s="182"/>
      <c r="C1826" s="182"/>
      <c r="D1826" s="182"/>
      <c r="E1826" s="182"/>
      <c r="F1826" s="182"/>
      <c r="I1826" s="40"/>
      <c r="J1826" s="186"/>
      <c r="K1826" s="186"/>
      <c r="L1826" s="186"/>
      <c r="M1826" s="186"/>
      <c r="N1826" s="186"/>
      <c r="O1826" s="186"/>
      <c r="P1826" s="186"/>
      <c r="Q1826" s="182"/>
      <c r="R1826" s="182"/>
      <c r="S1826" s="182"/>
      <c r="T1826" s="186"/>
      <c r="U1826" s="186"/>
      <c r="AA1826" s="35"/>
      <c r="AB1826" s="35"/>
    </row>
    <row r="1827" spans="2:28" x14ac:dyDescent="0.2">
      <c r="B1827" s="182"/>
      <c r="C1827" s="182"/>
      <c r="D1827" s="182"/>
      <c r="E1827" s="182"/>
      <c r="F1827" s="182"/>
      <c r="I1827" s="40"/>
      <c r="J1827" s="186"/>
      <c r="K1827" s="186"/>
      <c r="L1827" s="186"/>
      <c r="M1827" s="186"/>
      <c r="N1827" s="186"/>
      <c r="O1827" s="186"/>
      <c r="P1827" s="186"/>
      <c r="Q1827" s="182"/>
      <c r="R1827" s="182"/>
      <c r="S1827" s="182"/>
      <c r="T1827" s="186"/>
      <c r="U1827" s="186"/>
      <c r="AA1827" s="35"/>
      <c r="AB1827" s="35"/>
    </row>
    <row r="1828" spans="2:28" x14ac:dyDescent="0.2">
      <c r="B1828" s="182"/>
      <c r="C1828" s="182"/>
      <c r="D1828" s="182"/>
      <c r="E1828" s="182"/>
      <c r="F1828" s="182"/>
      <c r="I1828" s="40"/>
      <c r="J1828" s="186"/>
      <c r="K1828" s="186"/>
      <c r="L1828" s="186"/>
      <c r="M1828" s="186"/>
      <c r="N1828" s="186"/>
      <c r="O1828" s="186"/>
      <c r="P1828" s="186"/>
      <c r="Q1828" s="182"/>
      <c r="R1828" s="182"/>
      <c r="S1828" s="182"/>
      <c r="T1828" s="186"/>
      <c r="U1828" s="186"/>
      <c r="AA1828" s="35"/>
      <c r="AB1828" s="35"/>
    </row>
    <row r="1829" spans="2:28" x14ac:dyDescent="0.2">
      <c r="B1829" s="182"/>
      <c r="C1829" s="182"/>
      <c r="D1829" s="182"/>
      <c r="E1829" s="182"/>
      <c r="F1829" s="182"/>
      <c r="I1829" s="40"/>
      <c r="J1829" s="186"/>
      <c r="K1829" s="186"/>
      <c r="L1829" s="186"/>
      <c r="M1829" s="186"/>
      <c r="N1829" s="186"/>
      <c r="O1829" s="186"/>
      <c r="P1829" s="186"/>
      <c r="Q1829" s="182"/>
      <c r="R1829" s="182"/>
      <c r="S1829" s="182"/>
      <c r="T1829" s="186"/>
      <c r="U1829" s="186"/>
      <c r="AA1829" s="35"/>
      <c r="AB1829" s="35"/>
    </row>
    <row r="1830" spans="2:28" x14ac:dyDescent="0.2">
      <c r="B1830" s="182"/>
      <c r="C1830" s="182"/>
      <c r="D1830" s="182"/>
      <c r="E1830" s="182"/>
      <c r="F1830" s="182"/>
      <c r="I1830" s="40"/>
      <c r="J1830" s="186"/>
      <c r="K1830" s="186"/>
      <c r="L1830" s="186"/>
      <c r="M1830" s="186"/>
      <c r="N1830" s="186"/>
      <c r="O1830" s="186"/>
      <c r="P1830" s="186"/>
      <c r="Q1830" s="182"/>
      <c r="R1830" s="182"/>
      <c r="S1830" s="182"/>
      <c r="T1830" s="186"/>
      <c r="U1830" s="186"/>
      <c r="AA1830" s="35"/>
      <c r="AB1830" s="35"/>
    </row>
    <row r="1831" spans="2:28" x14ac:dyDescent="0.2">
      <c r="B1831" s="182"/>
      <c r="C1831" s="182"/>
      <c r="D1831" s="182"/>
      <c r="E1831" s="182"/>
      <c r="F1831" s="182"/>
      <c r="I1831" s="40"/>
      <c r="J1831" s="186"/>
      <c r="K1831" s="186"/>
      <c r="L1831" s="186"/>
      <c r="M1831" s="186"/>
      <c r="N1831" s="186"/>
      <c r="O1831" s="186"/>
      <c r="P1831" s="186"/>
      <c r="Q1831" s="182"/>
      <c r="R1831" s="182"/>
      <c r="S1831" s="182"/>
      <c r="T1831" s="186"/>
      <c r="U1831" s="186"/>
      <c r="AA1831" s="35"/>
      <c r="AB1831" s="35"/>
    </row>
    <row r="1832" spans="2:28" x14ac:dyDescent="0.2">
      <c r="B1832" s="182"/>
      <c r="C1832" s="182"/>
      <c r="D1832" s="182"/>
      <c r="E1832" s="182"/>
      <c r="F1832" s="182"/>
      <c r="I1832" s="40"/>
      <c r="J1832" s="186"/>
      <c r="K1832" s="186"/>
      <c r="L1832" s="186"/>
      <c r="M1832" s="186"/>
      <c r="N1832" s="186"/>
      <c r="O1832" s="186"/>
      <c r="P1832" s="186"/>
      <c r="Q1832" s="182"/>
      <c r="R1832" s="182"/>
      <c r="S1832" s="182"/>
      <c r="T1832" s="186"/>
      <c r="U1832" s="186"/>
      <c r="AA1832" s="35"/>
      <c r="AB1832" s="35"/>
    </row>
    <row r="1833" spans="2:28" x14ac:dyDescent="0.2">
      <c r="B1833" s="182"/>
      <c r="C1833" s="182"/>
      <c r="D1833" s="182"/>
      <c r="E1833" s="182"/>
      <c r="F1833" s="182"/>
      <c r="I1833" s="40"/>
      <c r="J1833" s="186"/>
      <c r="K1833" s="186"/>
      <c r="L1833" s="186"/>
      <c r="M1833" s="186"/>
      <c r="N1833" s="186"/>
      <c r="O1833" s="186"/>
      <c r="P1833" s="186"/>
      <c r="Q1833" s="182"/>
      <c r="R1833" s="182"/>
      <c r="S1833" s="182"/>
      <c r="T1833" s="186"/>
      <c r="U1833" s="186"/>
      <c r="AA1833" s="35"/>
      <c r="AB1833" s="35"/>
    </row>
    <row r="1834" spans="2:28" x14ac:dyDescent="0.2">
      <c r="B1834" s="182"/>
      <c r="C1834" s="182"/>
      <c r="D1834" s="182"/>
      <c r="E1834" s="182"/>
      <c r="F1834" s="182"/>
      <c r="I1834" s="40"/>
      <c r="J1834" s="186"/>
      <c r="K1834" s="186"/>
      <c r="L1834" s="186"/>
      <c r="M1834" s="186"/>
      <c r="N1834" s="186"/>
      <c r="O1834" s="186"/>
      <c r="P1834" s="186"/>
      <c r="Q1834" s="182"/>
      <c r="R1834" s="182"/>
      <c r="S1834" s="182"/>
      <c r="T1834" s="186"/>
      <c r="U1834" s="186"/>
      <c r="AA1834" s="35"/>
      <c r="AB1834" s="35"/>
    </row>
    <row r="1835" spans="2:28" x14ac:dyDescent="0.2">
      <c r="B1835" s="182"/>
      <c r="C1835" s="182"/>
      <c r="D1835" s="182"/>
      <c r="E1835" s="182"/>
      <c r="F1835" s="182"/>
      <c r="I1835" s="40"/>
      <c r="J1835" s="186"/>
      <c r="K1835" s="186"/>
      <c r="L1835" s="186"/>
      <c r="M1835" s="186"/>
      <c r="N1835" s="186"/>
      <c r="O1835" s="186"/>
      <c r="P1835" s="186"/>
      <c r="Q1835" s="182"/>
      <c r="R1835" s="182"/>
      <c r="S1835" s="182"/>
      <c r="T1835" s="186"/>
      <c r="U1835" s="186"/>
      <c r="AA1835" s="35"/>
      <c r="AB1835" s="35"/>
    </row>
    <row r="1836" spans="2:28" x14ac:dyDescent="0.2">
      <c r="B1836" s="182"/>
      <c r="C1836" s="182"/>
      <c r="D1836" s="182"/>
      <c r="E1836" s="182"/>
      <c r="F1836" s="182"/>
      <c r="I1836" s="40"/>
      <c r="J1836" s="186"/>
      <c r="K1836" s="186"/>
      <c r="L1836" s="186"/>
      <c r="M1836" s="186"/>
      <c r="N1836" s="186"/>
      <c r="O1836" s="186"/>
      <c r="P1836" s="186"/>
      <c r="Q1836" s="182"/>
      <c r="R1836" s="182"/>
      <c r="S1836" s="182"/>
      <c r="T1836" s="186"/>
      <c r="U1836" s="186"/>
      <c r="AA1836" s="35"/>
      <c r="AB1836" s="35"/>
    </row>
    <row r="1837" spans="2:28" x14ac:dyDescent="0.2">
      <c r="B1837" s="182"/>
      <c r="C1837" s="182"/>
      <c r="D1837" s="182"/>
      <c r="E1837" s="182"/>
      <c r="F1837" s="182"/>
      <c r="I1837" s="40"/>
      <c r="J1837" s="186"/>
      <c r="K1837" s="186"/>
      <c r="L1837" s="186"/>
      <c r="M1837" s="186"/>
      <c r="N1837" s="186"/>
      <c r="O1837" s="186"/>
      <c r="P1837" s="186"/>
      <c r="Q1837" s="182"/>
      <c r="R1837" s="182"/>
      <c r="S1837" s="182"/>
      <c r="T1837" s="186"/>
      <c r="U1837" s="186"/>
      <c r="AA1837" s="35"/>
      <c r="AB1837" s="35"/>
    </row>
    <row r="1838" spans="2:28" x14ac:dyDescent="0.2">
      <c r="B1838" s="182"/>
      <c r="C1838" s="182"/>
      <c r="D1838" s="182"/>
      <c r="E1838" s="182"/>
      <c r="F1838" s="182"/>
      <c r="I1838" s="40"/>
      <c r="J1838" s="186"/>
      <c r="K1838" s="186"/>
      <c r="L1838" s="186"/>
      <c r="M1838" s="186"/>
      <c r="N1838" s="186"/>
      <c r="O1838" s="186"/>
      <c r="P1838" s="186"/>
      <c r="Q1838" s="182"/>
      <c r="R1838" s="182"/>
      <c r="S1838" s="182"/>
      <c r="T1838" s="186"/>
      <c r="U1838" s="186"/>
      <c r="AA1838" s="35"/>
      <c r="AB1838" s="35"/>
    </row>
    <row r="1839" spans="2:28" x14ac:dyDescent="0.2">
      <c r="B1839" s="182"/>
      <c r="C1839" s="182"/>
      <c r="D1839" s="182"/>
      <c r="E1839" s="182"/>
      <c r="F1839" s="182"/>
      <c r="I1839" s="40"/>
      <c r="J1839" s="186"/>
      <c r="K1839" s="186"/>
      <c r="L1839" s="186"/>
      <c r="M1839" s="186"/>
      <c r="N1839" s="186"/>
      <c r="O1839" s="186"/>
      <c r="P1839" s="186"/>
      <c r="Q1839" s="182"/>
      <c r="R1839" s="182"/>
      <c r="S1839" s="182"/>
      <c r="T1839" s="186"/>
      <c r="U1839" s="186"/>
      <c r="AA1839" s="35"/>
      <c r="AB1839" s="35"/>
    </row>
    <row r="1840" spans="2:28" x14ac:dyDescent="0.2">
      <c r="B1840" s="182"/>
      <c r="C1840" s="182"/>
      <c r="D1840" s="182"/>
      <c r="E1840" s="182"/>
      <c r="F1840" s="182"/>
      <c r="I1840" s="40"/>
      <c r="J1840" s="186"/>
      <c r="K1840" s="186"/>
      <c r="L1840" s="186"/>
      <c r="M1840" s="186"/>
      <c r="N1840" s="186"/>
      <c r="O1840" s="186"/>
      <c r="P1840" s="186"/>
      <c r="Q1840" s="182"/>
      <c r="R1840" s="182"/>
      <c r="S1840" s="182"/>
      <c r="T1840" s="186"/>
      <c r="U1840" s="186"/>
      <c r="AA1840" s="35"/>
      <c r="AB1840" s="35"/>
    </row>
    <row r="1841" spans="2:28" x14ac:dyDescent="0.2">
      <c r="B1841" s="182"/>
      <c r="C1841" s="182"/>
      <c r="D1841" s="182"/>
      <c r="E1841" s="182"/>
      <c r="F1841" s="182"/>
      <c r="I1841" s="40"/>
      <c r="J1841" s="186"/>
      <c r="K1841" s="186"/>
      <c r="L1841" s="186"/>
      <c r="M1841" s="186"/>
      <c r="N1841" s="186"/>
      <c r="O1841" s="186"/>
      <c r="P1841" s="186"/>
      <c r="Q1841" s="182"/>
      <c r="R1841" s="182"/>
      <c r="S1841" s="182"/>
      <c r="T1841" s="186"/>
      <c r="U1841" s="186"/>
      <c r="AA1841" s="35"/>
      <c r="AB1841" s="35"/>
    </row>
    <row r="1842" spans="2:28" x14ac:dyDescent="0.2">
      <c r="B1842" s="182"/>
      <c r="C1842" s="182"/>
      <c r="D1842" s="182"/>
      <c r="E1842" s="182"/>
      <c r="F1842" s="182"/>
      <c r="I1842" s="40"/>
      <c r="J1842" s="186"/>
      <c r="K1842" s="186"/>
      <c r="L1842" s="186"/>
      <c r="M1842" s="186"/>
      <c r="N1842" s="186"/>
      <c r="O1842" s="186"/>
      <c r="P1842" s="186"/>
      <c r="Q1842" s="182"/>
      <c r="R1842" s="182"/>
      <c r="S1842" s="182"/>
      <c r="T1842" s="186"/>
      <c r="U1842" s="186"/>
      <c r="AA1842" s="35"/>
      <c r="AB1842" s="35"/>
    </row>
    <row r="1843" spans="2:28" x14ac:dyDescent="0.2">
      <c r="B1843" s="182"/>
      <c r="C1843" s="182"/>
      <c r="D1843" s="182"/>
      <c r="E1843" s="182"/>
      <c r="F1843" s="182"/>
      <c r="I1843" s="40"/>
      <c r="J1843" s="186"/>
      <c r="K1843" s="186"/>
      <c r="L1843" s="186"/>
      <c r="M1843" s="186"/>
      <c r="N1843" s="186"/>
      <c r="O1843" s="186"/>
      <c r="P1843" s="186"/>
      <c r="Q1843" s="182"/>
      <c r="R1843" s="182"/>
      <c r="S1843" s="182"/>
      <c r="T1843" s="186"/>
      <c r="U1843" s="186"/>
      <c r="AA1843" s="35"/>
      <c r="AB1843" s="35"/>
    </row>
    <row r="1844" spans="2:28" x14ac:dyDescent="0.2">
      <c r="B1844" s="182"/>
      <c r="C1844" s="182"/>
      <c r="D1844" s="182"/>
      <c r="E1844" s="182"/>
      <c r="F1844" s="182"/>
      <c r="I1844" s="40"/>
      <c r="J1844" s="186"/>
      <c r="K1844" s="186"/>
      <c r="L1844" s="186"/>
      <c r="M1844" s="186"/>
      <c r="N1844" s="186"/>
      <c r="O1844" s="186"/>
      <c r="P1844" s="186"/>
      <c r="Q1844" s="182"/>
      <c r="R1844" s="182"/>
      <c r="S1844" s="182"/>
      <c r="T1844" s="186"/>
      <c r="U1844" s="186"/>
      <c r="AA1844" s="35"/>
      <c r="AB1844" s="35"/>
    </row>
    <row r="1845" spans="2:28" x14ac:dyDescent="0.2">
      <c r="B1845" s="182"/>
      <c r="C1845" s="182"/>
      <c r="D1845" s="182"/>
      <c r="E1845" s="182"/>
      <c r="F1845" s="182"/>
      <c r="I1845" s="40"/>
      <c r="J1845" s="186"/>
      <c r="K1845" s="186"/>
      <c r="L1845" s="186"/>
      <c r="M1845" s="186"/>
      <c r="N1845" s="186"/>
      <c r="O1845" s="186"/>
      <c r="P1845" s="186"/>
      <c r="Q1845" s="182"/>
      <c r="R1845" s="182"/>
      <c r="S1845" s="182"/>
      <c r="T1845" s="186"/>
      <c r="U1845" s="186"/>
      <c r="AA1845" s="35"/>
      <c r="AB1845" s="35"/>
    </row>
    <row r="1846" spans="2:28" x14ac:dyDescent="0.2">
      <c r="B1846" s="182"/>
      <c r="C1846" s="182"/>
      <c r="D1846" s="182"/>
      <c r="E1846" s="182"/>
      <c r="F1846" s="182"/>
      <c r="I1846" s="40"/>
      <c r="J1846" s="186"/>
      <c r="K1846" s="186"/>
      <c r="L1846" s="186"/>
      <c r="M1846" s="186"/>
      <c r="N1846" s="186"/>
      <c r="O1846" s="186"/>
      <c r="P1846" s="186"/>
      <c r="Q1846" s="182"/>
      <c r="R1846" s="182"/>
      <c r="S1846" s="182"/>
      <c r="T1846" s="186"/>
      <c r="U1846" s="186"/>
      <c r="AA1846" s="35"/>
      <c r="AB1846" s="35"/>
    </row>
    <row r="1847" spans="2:28" x14ac:dyDescent="0.2">
      <c r="B1847" s="182"/>
      <c r="C1847" s="182"/>
      <c r="D1847" s="182"/>
      <c r="E1847" s="182"/>
      <c r="F1847" s="182"/>
      <c r="I1847" s="40"/>
      <c r="J1847" s="186"/>
      <c r="K1847" s="186"/>
      <c r="L1847" s="186"/>
      <c r="M1847" s="186"/>
      <c r="N1847" s="186"/>
      <c r="O1847" s="186"/>
      <c r="P1847" s="186"/>
      <c r="Q1847" s="182"/>
      <c r="R1847" s="182"/>
      <c r="S1847" s="182"/>
      <c r="T1847" s="186"/>
      <c r="U1847" s="186"/>
      <c r="AA1847" s="35"/>
      <c r="AB1847" s="35"/>
    </row>
    <row r="1848" spans="2:28" x14ac:dyDescent="0.2">
      <c r="B1848" s="182"/>
      <c r="C1848" s="182"/>
      <c r="D1848" s="182"/>
      <c r="E1848" s="182"/>
      <c r="F1848" s="182"/>
      <c r="I1848" s="40"/>
      <c r="J1848" s="186"/>
      <c r="K1848" s="186"/>
      <c r="L1848" s="186"/>
      <c r="M1848" s="186"/>
      <c r="N1848" s="186"/>
      <c r="O1848" s="186"/>
      <c r="P1848" s="186"/>
      <c r="Q1848" s="182"/>
      <c r="R1848" s="182"/>
      <c r="S1848" s="182"/>
      <c r="T1848" s="186"/>
      <c r="U1848" s="186"/>
      <c r="AA1848" s="35"/>
      <c r="AB1848" s="35"/>
    </row>
    <row r="1849" spans="2:28" x14ac:dyDescent="0.2">
      <c r="B1849" s="182"/>
      <c r="C1849" s="182"/>
      <c r="D1849" s="182"/>
      <c r="E1849" s="182"/>
      <c r="F1849" s="182"/>
      <c r="I1849" s="40"/>
      <c r="J1849" s="186"/>
      <c r="K1849" s="186"/>
      <c r="L1849" s="186"/>
      <c r="M1849" s="186"/>
      <c r="N1849" s="186"/>
      <c r="O1849" s="186"/>
      <c r="P1849" s="186"/>
      <c r="Q1849" s="182"/>
      <c r="R1849" s="182"/>
      <c r="S1849" s="182"/>
      <c r="T1849" s="186"/>
      <c r="U1849" s="186"/>
      <c r="AA1849" s="35"/>
      <c r="AB1849" s="35"/>
    </row>
    <row r="1850" spans="2:28" x14ac:dyDescent="0.2">
      <c r="B1850" s="182"/>
      <c r="C1850" s="182"/>
      <c r="D1850" s="182"/>
      <c r="E1850" s="182"/>
      <c r="F1850" s="182"/>
      <c r="I1850" s="40"/>
      <c r="J1850" s="186"/>
      <c r="K1850" s="186"/>
      <c r="L1850" s="186"/>
      <c r="M1850" s="186"/>
      <c r="N1850" s="186"/>
      <c r="O1850" s="186"/>
      <c r="P1850" s="186"/>
      <c r="Q1850" s="182"/>
      <c r="R1850" s="182"/>
      <c r="S1850" s="182"/>
      <c r="T1850" s="186"/>
      <c r="U1850" s="186"/>
      <c r="AA1850" s="35"/>
      <c r="AB1850" s="35"/>
    </row>
    <row r="1851" spans="2:28" x14ac:dyDescent="0.2">
      <c r="B1851" s="182"/>
      <c r="C1851" s="182"/>
      <c r="D1851" s="182"/>
      <c r="E1851" s="182"/>
      <c r="F1851" s="182"/>
      <c r="I1851" s="40"/>
      <c r="J1851" s="186"/>
      <c r="K1851" s="186"/>
      <c r="L1851" s="186"/>
      <c r="M1851" s="186"/>
      <c r="N1851" s="186"/>
      <c r="O1851" s="186"/>
      <c r="P1851" s="186"/>
      <c r="Q1851" s="182"/>
      <c r="R1851" s="182"/>
      <c r="S1851" s="182"/>
      <c r="T1851" s="186"/>
      <c r="U1851" s="186"/>
      <c r="AA1851" s="35"/>
      <c r="AB1851" s="35"/>
    </row>
    <row r="1852" spans="2:28" x14ac:dyDescent="0.2">
      <c r="B1852" s="182"/>
      <c r="C1852" s="182"/>
      <c r="D1852" s="182"/>
      <c r="E1852" s="182"/>
      <c r="F1852" s="182"/>
      <c r="I1852" s="40"/>
      <c r="J1852" s="186"/>
      <c r="K1852" s="186"/>
      <c r="L1852" s="186"/>
      <c r="M1852" s="186"/>
      <c r="N1852" s="186"/>
      <c r="O1852" s="186"/>
      <c r="P1852" s="186"/>
      <c r="Q1852" s="182"/>
      <c r="R1852" s="182"/>
      <c r="S1852" s="182"/>
      <c r="T1852" s="186"/>
      <c r="U1852" s="186"/>
      <c r="AA1852" s="35"/>
      <c r="AB1852" s="35"/>
    </row>
    <row r="1853" spans="2:28" x14ac:dyDescent="0.2">
      <c r="B1853" s="182"/>
      <c r="C1853" s="182"/>
      <c r="D1853" s="182"/>
      <c r="E1853" s="182"/>
      <c r="F1853" s="182"/>
      <c r="I1853" s="40"/>
      <c r="J1853" s="186"/>
      <c r="K1853" s="186"/>
      <c r="L1853" s="186"/>
      <c r="M1853" s="186"/>
      <c r="N1853" s="186"/>
      <c r="O1853" s="186"/>
      <c r="P1853" s="186"/>
      <c r="Q1853" s="182"/>
      <c r="R1853" s="182"/>
      <c r="S1853" s="182"/>
      <c r="T1853" s="186"/>
      <c r="U1853" s="186"/>
      <c r="AA1853" s="35"/>
      <c r="AB1853" s="35"/>
    </row>
    <row r="1854" spans="2:28" x14ac:dyDescent="0.2">
      <c r="B1854" s="182"/>
      <c r="C1854" s="182"/>
      <c r="D1854" s="182"/>
      <c r="E1854" s="182"/>
      <c r="F1854" s="182"/>
      <c r="I1854" s="40"/>
      <c r="J1854" s="186"/>
      <c r="K1854" s="186"/>
      <c r="L1854" s="186"/>
      <c r="M1854" s="186"/>
      <c r="N1854" s="186"/>
      <c r="O1854" s="186"/>
      <c r="P1854" s="186"/>
      <c r="Q1854" s="182"/>
      <c r="R1854" s="182"/>
      <c r="S1854" s="182"/>
      <c r="T1854" s="186"/>
      <c r="U1854" s="186"/>
      <c r="AA1854" s="35"/>
      <c r="AB1854" s="35"/>
    </row>
    <row r="1855" spans="2:28" x14ac:dyDescent="0.2">
      <c r="B1855" s="182"/>
      <c r="C1855" s="182"/>
      <c r="D1855" s="182"/>
      <c r="E1855" s="182"/>
      <c r="F1855" s="182"/>
      <c r="I1855" s="40"/>
      <c r="J1855" s="186"/>
      <c r="K1855" s="186"/>
      <c r="L1855" s="186"/>
      <c r="M1855" s="186"/>
      <c r="N1855" s="186"/>
      <c r="O1855" s="186"/>
      <c r="P1855" s="186"/>
      <c r="Q1855" s="182"/>
      <c r="R1855" s="182"/>
      <c r="S1855" s="182"/>
      <c r="T1855" s="186"/>
      <c r="U1855" s="186"/>
      <c r="AA1855" s="35"/>
      <c r="AB1855" s="35"/>
    </row>
    <row r="1856" spans="2:28" x14ac:dyDescent="0.2">
      <c r="B1856" s="182"/>
      <c r="C1856" s="182"/>
      <c r="D1856" s="182"/>
      <c r="E1856" s="182"/>
      <c r="F1856" s="182"/>
      <c r="I1856" s="40"/>
      <c r="J1856" s="186"/>
      <c r="K1856" s="186"/>
      <c r="L1856" s="186"/>
      <c r="M1856" s="186"/>
      <c r="N1856" s="186"/>
      <c r="O1856" s="186"/>
      <c r="P1856" s="186"/>
      <c r="Q1856" s="182"/>
      <c r="R1856" s="182"/>
      <c r="S1856" s="182"/>
      <c r="T1856" s="186"/>
      <c r="U1856" s="186"/>
      <c r="AA1856" s="35"/>
      <c r="AB1856" s="35"/>
    </row>
    <row r="1857" spans="2:28" x14ac:dyDescent="0.2">
      <c r="B1857" s="182"/>
      <c r="C1857" s="182"/>
      <c r="D1857" s="182"/>
      <c r="E1857" s="182"/>
      <c r="F1857" s="182"/>
      <c r="I1857" s="40"/>
      <c r="J1857" s="186"/>
      <c r="K1857" s="186"/>
      <c r="L1857" s="186"/>
      <c r="M1857" s="186"/>
      <c r="N1857" s="186"/>
      <c r="O1857" s="186"/>
      <c r="P1857" s="186"/>
      <c r="Q1857" s="182"/>
      <c r="R1857" s="182"/>
      <c r="S1857" s="182"/>
      <c r="T1857" s="186"/>
      <c r="U1857" s="186"/>
      <c r="AA1857" s="35"/>
      <c r="AB1857" s="35"/>
    </row>
    <row r="1858" spans="2:28" x14ac:dyDescent="0.2">
      <c r="B1858" s="182"/>
      <c r="C1858" s="182"/>
      <c r="D1858" s="182"/>
      <c r="E1858" s="182"/>
      <c r="F1858" s="182"/>
      <c r="I1858" s="40"/>
      <c r="J1858" s="186"/>
      <c r="K1858" s="186"/>
      <c r="L1858" s="186"/>
      <c r="M1858" s="186"/>
      <c r="N1858" s="186"/>
      <c r="O1858" s="186"/>
      <c r="P1858" s="186"/>
      <c r="Q1858" s="182"/>
      <c r="R1858" s="182"/>
      <c r="S1858" s="182"/>
      <c r="T1858" s="186"/>
      <c r="U1858" s="186"/>
      <c r="AA1858" s="35"/>
      <c r="AB1858" s="35"/>
    </row>
    <row r="1859" spans="2:28" x14ac:dyDescent="0.2">
      <c r="B1859" s="182"/>
      <c r="C1859" s="182"/>
      <c r="D1859" s="182"/>
      <c r="E1859" s="182"/>
      <c r="F1859" s="182"/>
      <c r="I1859" s="40"/>
      <c r="J1859" s="186"/>
      <c r="K1859" s="186"/>
      <c r="L1859" s="186"/>
      <c r="M1859" s="186"/>
      <c r="N1859" s="186"/>
      <c r="O1859" s="186"/>
      <c r="P1859" s="186"/>
      <c r="Q1859" s="182"/>
      <c r="R1859" s="182"/>
      <c r="S1859" s="182"/>
      <c r="T1859" s="186"/>
      <c r="U1859" s="186"/>
      <c r="AA1859" s="35"/>
      <c r="AB1859" s="35"/>
    </row>
    <row r="1860" spans="2:28" x14ac:dyDescent="0.2">
      <c r="B1860" s="182"/>
      <c r="C1860" s="182"/>
      <c r="D1860" s="182"/>
      <c r="E1860" s="182"/>
      <c r="F1860" s="182"/>
      <c r="I1860" s="40"/>
      <c r="J1860" s="186"/>
      <c r="K1860" s="186"/>
      <c r="L1860" s="186"/>
      <c r="M1860" s="186"/>
      <c r="N1860" s="186"/>
      <c r="O1860" s="186"/>
      <c r="P1860" s="186"/>
      <c r="Q1860" s="182"/>
      <c r="R1860" s="182"/>
      <c r="S1860" s="182"/>
      <c r="T1860" s="186"/>
      <c r="U1860" s="186"/>
      <c r="AA1860" s="35"/>
      <c r="AB1860" s="35"/>
    </row>
    <row r="1861" spans="2:28" x14ac:dyDescent="0.2">
      <c r="B1861" s="182"/>
      <c r="C1861" s="182"/>
      <c r="D1861" s="182"/>
      <c r="E1861" s="182"/>
      <c r="F1861" s="182"/>
      <c r="I1861" s="40"/>
      <c r="J1861" s="186"/>
      <c r="K1861" s="186"/>
      <c r="L1861" s="186"/>
      <c r="M1861" s="186"/>
      <c r="N1861" s="186"/>
      <c r="O1861" s="186"/>
      <c r="P1861" s="186"/>
      <c r="Q1861" s="182"/>
      <c r="R1861" s="182"/>
      <c r="S1861" s="182"/>
      <c r="T1861" s="186"/>
      <c r="U1861" s="186"/>
      <c r="AA1861" s="35"/>
      <c r="AB1861" s="35"/>
    </row>
    <row r="1862" spans="2:28" x14ac:dyDescent="0.2">
      <c r="B1862" s="182"/>
      <c r="C1862" s="182"/>
      <c r="D1862" s="182"/>
      <c r="E1862" s="182"/>
      <c r="F1862" s="182"/>
      <c r="I1862" s="40"/>
      <c r="J1862" s="186"/>
      <c r="K1862" s="186"/>
      <c r="L1862" s="186"/>
      <c r="M1862" s="186"/>
      <c r="N1862" s="186"/>
      <c r="O1862" s="186"/>
      <c r="P1862" s="186"/>
      <c r="Q1862" s="182"/>
      <c r="R1862" s="182"/>
      <c r="S1862" s="182"/>
      <c r="T1862" s="186"/>
      <c r="U1862" s="186"/>
      <c r="AA1862" s="35"/>
      <c r="AB1862" s="35"/>
    </row>
    <row r="1863" spans="2:28" x14ac:dyDescent="0.2">
      <c r="B1863" s="182"/>
      <c r="C1863" s="182"/>
      <c r="D1863" s="182"/>
      <c r="E1863" s="182"/>
      <c r="F1863" s="182"/>
      <c r="I1863" s="40"/>
      <c r="J1863" s="186"/>
      <c r="K1863" s="186"/>
      <c r="L1863" s="186"/>
      <c r="M1863" s="186"/>
      <c r="N1863" s="186"/>
      <c r="O1863" s="186"/>
      <c r="P1863" s="186"/>
      <c r="Q1863" s="182"/>
      <c r="R1863" s="182"/>
      <c r="S1863" s="182"/>
      <c r="T1863" s="186"/>
      <c r="U1863" s="186"/>
      <c r="AA1863" s="35"/>
      <c r="AB1863" s="35"/>
    </row>
    <row r="1864" spans="2:28" x14ac:dyDescent="0.2">
      <c r="B1864" s="182"/>
      <c r="C1864" s="182"/>
      <c r="D1864" s="182"/>
      <c r="E1864" s="182"/>
      <c r="F1864" s="182"/>
      <c r="I1864" s="40"/>
      <c r="J1864" s="186"/>
      <c r="K1864" s="186"/>
      <c r="L1864" s="186"/>
      <c r="M1864" s="186"/>
      <c r="N1864" s="186"/>
      <c r="O1864" s="186"/>
      <c r="P1864" s="186"/>
      <c r="Q1864" s="182"/>
      <c r="R1864" s="182"/>
      <c r="S1864" s="182"/>
      <c r="T1864" s="186"/>
      <c r="U1864" s="186"/>
      <c r="AA1864" s="35"/>
      <c r="AB1864" s="35"/>
    </row>
    <row r="1865" spans="2:28" x14ac:dyDescent="0.2">
      <c r="B1865" s="182"/>
      <c r="C1865" s="182"/>
      <c r="D1865" s="182"/>
      <c r="E1865" s="182"/>
      <c r="F1865" s="182"/>
      <c r="I1865" s="40"/>
      <c r="J1865" s="186"/>
      <c r="K1865" s="186"/>
      <c r="L1865" s="186"/>
      <c r="M1865" s="186"/>
      <c r="N1865" s="186"/>
      <c r="O1865" s="186"/>
      <c r="P1865" s="186"/>
      <c r="Q1865" s="182"/>
      <c r="R1865" s="182"/>
      <c r="S1865" s="182"/>
      <c r="T1865" s="186"/>
      <c r="U1865" s="186"/>
      <c r="AA1865" s="35"/>
      <c r="AB1865" s="35"/>
    </row>
    <row r="1866" spans="2:28" x14ac:dyDescent="0.2">
      <c r="B1866" s="182"/>
      <c r="C1866" s="182"/>
      <c r="D1866" s="182"/>
      <c r="E1866" s="182"/>
      <c r="F1866" s="182"/>
      <c r="I1866" s="40"/>
      <c r="J1866" s="186"/>
      <c r="K1866" s="186"/>
      <c r="L1866" s="186"/>
      <c r="M1866" s="186"/>
      <c r="N1866" s="186"/>
      <c r="O1866" s="186"/>
      <c r="P1866" s="186"/>
      <c r="Q1866" s="182"/>
      <c r="R1866" s="182"/>
      <c r="S1866" s="182"/>
      <c r="T1866" s="186"/>
      <c r="U1866" s="186"/>
      <c r="AA1866" s="35"/>
      <c r="AB1866" s="35"/>
    </row>
    <row r="1867" spans="2:28" x14ac:dyDescent="0.2">
      <c r="B1867" s="182"/>
      <c r="C1867" s="182"/>
      <c r="D1867" s="182"/>
      <c r="E1867" s="182"/>
      <c r="F1867" s="182"/>
      <c r="I1867" s="40"/>
      <c r="J1867" s="186"/>
      <c r="K1867" s="186"/>
      <c r="L1867" s="186"/>
      <c r="M1867" s="186"/>
      <c r="N1867" s="186"/>
      <c r="O1867" s="186"/>
      <c r="P1867" s="186"/>
      <c r="Q1867" s="182"/>
      <c r="R1867" s="182"/>
      <c r="S1867" s="182"/>
      <c r="T1867" s="186"/>
      <c r="U1867" s="186"/>
      <c r="AA1867" s="35"/>
      <c r="AB1867" s="35"/>
    </row>
    <row r="1868" spans="2:28" x14ac:dyDescent="0.2">
      <c r="B1868" s="182"/>
      <c r="C1868" s="182"/>
      <c r="D1868" s="182"/>
      <c r="E1868" s="182"/>
      <c r="F1868" s="182"/>
      <c r="I1868" s="40"/>
      <c r="J1868" s="186"/>
      <c r="K1868" s="186"/>
      <c r="L1868" s="186"/>
      <c r="M1868" s="186"/>
      <c r="N1868" s="186"/>
      <c r="O1868" s="186"/>
      <c r="P1868" s="186"/>
      <c r="Q1868" s="182"/>
      <c r="R1868" s="182"/>
      <c r="S1868" s="182"/>
      <c r="T1868" s="186"/>
      <c r="U1868" s="186"/>
      <c r="AA1868" s="35"/>
      <c r="AB1868" s="35"/>
    </row>
    <row r="1869" spans="2:28" x14ac:dyDescent="0.2">
      <c r="B1869" s="182"/>
      <c r="C1869" s="182"/>
      <c r="D1869" s="182"/>
      <c r="E1869" s="182"/>
      <c r="F1869" s="182"/>
      <c r="I1869" s="40"/>
      <c r="J1869" s="186"/>
      <c r="K1869" s="186"/>
      <c r="L1869" s="186"/>
      <c r="M1869" s="186"/>
      <c r="N1869" s="186"/>
      <c r="O1869" s="186"/>
      <c r="P1869" s="186"/>
      <c r="Q1869" s="182"/>
      <c r="R1869" s="182"/>
      <c r="S1869" s="182"/>
      <c r="T1869" s="186"/>
      <c r="U1869" s="186"/>
      <c r="AA1869" s="35"/>
      <c r="AB1869" s="35"/>
    </row>
    <row r="1870" spans="2:28" x14ac:dyDescent="0.2">
      <c r="B1870" s="182"/>
      <c r="C1870" s="182"/>
      <c r="D1870" s="182"/>
      <c r="E1870" s="182"/>
      <c r="F1870" s="182"/>
      <c r="I1870" s="40"/>
      <c r="J1870" s="186"/>
      <c r="K1870" s="186"/>
      <c r="L1870" s="186"/>
      <c r="M1870" s="186"/>
      <c r="N1870" s="186"/>
      <c r="O1870" s="186"/>
      <c r="P1870" s="186"/>
      <c r="Q1870" s="182"/>
      <c r="R1870" s="182"/>
      <c r="S1870" s="182"/>
      <c r="T1870" s="186"/>
      <c r="U1870" s="186"/>
      <c r="AA1870" s="35"/>
      <c r="AB1870" s="35"/>
    </row>
    <row r="1871" spans="2:28" x14ac:dyDescent="0.2">
      <c r="B1871" s="182"/>
      <c r="C1871" s="182"/>
      <c r="D1871" s="182"/>
      <c r="E1871" s="182"/>
      <c r="F1871" s="182"/>
      <c r="I1871" s="40"/>
      <c r="J1871" s="186"/>
      <c r="K1871" s="186"/>
      <c r="L1871" s="186"/>
      <c r="M1871" s="186"/>
      <c r="N1871" s="186"/>
      <c r="O1871" s="186"/>
      <c r="P1871" s="186"/>
      <c r="Q1871" s="182"/>
      <c r="R1871" s="182"/>
      <c r="S1871" s="182"/>
      <c r="T1871" s="186"/>
      <c r="U1871" s="186"/>
      <c r="AA1871" s="35"/>
      <c r="AB1871" s="35"/>
    </row>
    <row r="1872" spans="2:28" x14ac:dyDescent="0.2">
      <c r="B1872" s="182"/>
      <c r="C1872" s="182"/>
      <c r="D1872" s="182"/>
      <c r="E1872" s="182"/>
      <c r="F1872" s="182"/>
      <c r="I1872" s="40"/>
      <c r="J1872" s="186"/>
      <c r="K1872" s="186"/>
      <c r="L1872" s="186"/>
      <c r="M1872" s="186"/>
      <c r="N1872" s="186"/>
      <c r="O1872" s="186"/>
      <c r="P1872" s="186"/>
      <c r="Q1872" s="182"/>
      <c r="R1872" s="182"/>
      <c r="S1872" s="182"/>
      <c r="T1872" s="186"/>
      <c r="U1872" s="186"/>
      <c r="AA1872" s="35"/>
      <c r="AB1872" s="35"/>
    </row>
    <row r="1873" spans="2:28" x14ac:dyDescent="0.2">
      <c r="B1873" s="182"/>
      <c r="C1873" s="182"/>
      <c r="D1873" s="182"/>
      <c r="E1873" s="182"/>
      <c r="F1873" s="182"/>
      <c r="I1873" s="40"/>
      <c r="J1873" s="186"/>
      <c r="K1873" s="186"/>
      <c r="L1873" s="186"/>
      <c r="M1873" s="186"/>
      <c r="N1873" s="186"/>
      <c r="O1873" s="186"/>
      <c r="P1873" s="186"/>
      <c r="Q1873" s="182"/>
      <c r="R1873" s="182"/>
      <c r="S1873" s="182"/>
      <c r="T1873" s="186"/>
      <c r="U1873" s="186"/>
      <c r="AA1873" s="35"/>
      <c r="AB1873" s="35"/>
    </row>
    <row r="1874" spans="2:28" x14ac:dyDescent="0.2">
      <c r="B1874" s="182"/>
      <c r="C1874" s="182"/>
      <c r="D1874" s="182"/>
      <c r="E1874" s="182"/>
      <c r="F1874" s="182"/>
      <c r="I1874" s="40"/>
      <c r="J1874" s="186"/>
      <c r="K1874" s="186"/>
      <c r="L1874" s="186"/>
      <c r="M1874" s="186"/>
      <c r="N1874" s="186"/>
      <c r="O1874" s="186"/>
      <c r="P1874" s="186"/>
      <c r="Q1874" s="182"/>
      <c r="R1874" s="182"/>
      <c r="S1874" s="182"/>
      <c r="T1874" s="186"/>
      <c r="U1874" s="186"/>
    </row>
    <row r="1875" spans="2:28" x14ac:dyDescent="0.2">
      <c r="B1875" s="182"/>
      <c r="C1875" s="182"/>
      <c r="D1875" s="182"/>
      <c r="E1875" s="182"/>
      <c r="F1875" s="182"/>
      <c r="I1875" s="40"/>
      <c r="J1875" s="186"/>
      <c r="K1875" s="186"/>
      <c r="L1875" s="186"/>
      <c r="M1875" s="186"/>
      <c r="N1875" s="186"/>
      <c r="O1875" s="186"/>
      <c r="P1875" s="186"/>
      <c r="Q1875" s="182"/>
      <c r="R1875" s="182"/>
      <c r="S1875" s="182"/>
      <c r="T1875" s="186"/>
      <c r="U1875" s="186"/>
    </row>
    <row r="1876" spans="2:28" x14ac:dyDescent="0.2">
      <c r="B1876" s="182"/>
      <c r="C1876" s="182"/>
      <c r="D1876" s="182"/>
      <c r="E1876" s="182"/>
      <c r="F1876" s="182"/>
      <c r="I1876" s="40"/>
      <c r="J1876" s="186"/>
      <c r="K1876" s="186"/>
      <c r="L1876" s="186"/>
      <c r="M1876" s="186"/>
      <c r="N1876" s="186"/>
      <c r="O1876" s="186"/>
      <c r="P1876" s="186"/>
      <c r="Q1876" s="182"/>
      <c r="R1876" s="182"/>
      <c r="S1876" s="182"/>
      <c r="T1876" s="186"/>
      <c r="U1876" s="186"/>
    </row>
    <row r="1877" spans="2:28" x14ac:dyDescent="0.2">
      <c r="B1877" s="182"/>
      <c r="C1877" s="182"/>
      <c r="D1877" s="182"/>
      <c r="E1877" s="182"/>
      <c r="F1877" s="182"/>
      <c r="I1877" s="40"/>
      <c r="J1877" s="186"/>
      <c r="K1877" s="186"/>
      <c r="L1877" s="186"/>
      <c r="M1877" s="186"/>
      <c r="N1877" s="186"/>
      <c r="O1877" s="186"/>
      <c r="P1877" s="186"/>
      <c r="Q1877" s="182"/>
      <c r="R1877" s="182"/>
      <c r="S1877" s="182"/>
      <c r="T1877" s="186"/>
      <c r="U1877" s="186"/>
    </row>
    <row r="1878" spans="2:28" x14ac:dyDescent="0.2">
      <c r="B1878" s="182"/>
      <c r="C1878" s="182"/>
      <c r="D1878" s="182"/>
      <c r="E1878" s="182"/>
      <c r="F1878" s="182"/>
      <c r="I1878" s="40"/>
      <c r="J1878" s="186"/>
      <c r="K1878" s="186"/>
      <c r="L1878" s="186"/>
      <c r="M1878" s="186"/>
      <c r="N1878" s="186"/>
      <c r="O1878" s="186"/>
      <c r="P1878" s="186"/>
      <c r="Q1878" s="182"/>
      <c r="R1878" s="182"/>
      <c r="S1878" s="182"/>
      <c r="T1878" s="186"/>
      <c r="U1878" s="186"/>
    </row>
    <row r="1879" spans="2:28" x14ac:dyDescent="0.2">
      <c r="B1879" s="182"/>
      <c r="C1879" s="182"/>
      <c r="D1879" s="182"/>
      <c r="E1879" s="182"/>
      <c r="F1879" s="182"/>
      <c r="I1879" s="40"/>
      <c r="J1879" s="186"/>
      <c r="K1879" s="186"/>
      <c r="L1879" s="186"/>
      <c r="M1879" s="186"/>
      <c r="N1879" s="186"/>
      <c r="O1879" s="186"/>
      <c r="P1879" s="186"/>
      <c r="Q1879" s="182"/>
      <c r="R1879" s="182"/>
      <c r="S1879" s="182"/>
      <c r="T1879" s="186"/>
      <c r="U1879" s="186"/>
    </row>
    <row r="1880" spans="2:28" x14ac:dyDescent="0.2">
      <c r="B1880" s="182"/>
      <c r="C1880" s="182"/>
      <c r="D1880" s="182"/>
      <c r="E1880" s="182"/>
      <c r="F1880" s="182"/>
      <c r="I1880" s="40"/>
      <c r="J1880" s="186"/>
      <c r="K1880" s="186"/>
      <c r="L1880" s="186"/>
      <c r="M1880" s="186"/>
      <c r="N1880" s="186"/>
      <c r="O1880" s="186"/>
      <c r="P1880" s="186"/>
      <c r="Q1880" s="182"/>
      <c r="R1880" s="182"/>
      <c r="S1880" s="182"/>
      <c r="T1880" s="186"/>
      <c r="U1880" s="186"/>
    </row>
    <row r="1881" spans="2:28" x14ac:dyDescent="0.2">
      <c r="B1881" s="182"/>
      <c r="C1881" s="182"/>
      <c r="D1881" s="182"/>
      <c r="E1881" s="182"/>
      <c r="F1881" s="182"/>
      <c r="I1881" s="40"/>
      <c r="J1881" s="186"/>
      <c r="K1881" s="186"/>
      <c r="L1881" s="186"/>
      <c r="M1881" s="186"/>
      <c r="N1881" s="186"/>
      <c r="O1881" s="186"/>
      <c r="P1881" s="186"/>
      <c r="Q1881" s="182"/>
      <c r="R1881" s="182"/>
      <c r="S1881" s="182"/>
      <c r="T1881" s="186"/>
      <c r="U1881" s="186"/>
    </row>
    <row r="1882" spans="2:28" x14ac:dyDescent="0.2">
      <c r="B1882" s="182"/>
      <c r="C1882" s="182"/>
      <c r="D1882" s="182"/>
      <c r="E1882" s="182"/>
      <c r="F1882" s="182"/>
      <c r="I1882" s="40"/>
      <c r="J1882" s="186"/>
      <c r="K1882" s="186"/>
      <c r="L1882" s="186"/>
      <c r="M1882" s="186"/>
      <c r="N1882" s="186"/>
      <c r="O1882" s="186"/>
      <c r="P1882" s="186"/>
      <c r="Q1882" s="182"/>
      <c r="R1882" s="182"/>
      <c r="S1882" s="182"/>
      <c r="T1882" s="186"/>
      <c r="U1882" s="186"/>
    </row>
    <row r="1883" spans="2:28" x14ac:dyDescent="0.2">
      <c r="B1883" s="182"/>
      <c r="C1883" s="182"/>
      <c r="D1883" s="182"/>
      <c r="E1883" s="182"/>
      <c r="F1883" s="182"/>
      <c r="I1883" s="40"/>
      <c r="J1883" s="186"/>
      <c r="K1883" s="186"/>
      <c r="L1883" s="186"/>
      <c r="M1883" s="186"/>
      <c r="N1883" s="186"/>
      <c r="O1883" s="186"/>
      <c r="P1883" s="186"/>
      <c r="Q1883" s="182"/>
      <c r="R1883" s="182"/>
      <c r="S1883" s="182"/>
      <c r="T1883" s="186"/>
      <c r="U1883" s="186"/>
    </row>
    <row r="1884" spans="2:28" x14ac:dyDescent="0.2">
      <c r="B1884" s="182"/>
      <c r="C1884" s="182"/>
      <c r="D1884" s="182"/>
      <c r="E1884" s="182"/>
      <c r="F1884" s="182"/>
      <c r="I1884" s="40"/>
      <c r="J1884" s="186"/>
      <c r="K1884" s="186"/>
      <c r="L1884" s="186"/>
      <c r="M1884" s="186"/>
      <c r="N1884" s="186"/>
      <c r="O1884" s="186"/>
      <c r="P1884" s="186"/>
      <c r="Q1884" s="182"/>
      <c r="R1884" s="182"/>
      <c r="S1884" s="182"/>
      <c r="T1884" s="186"/>
      <c r="U1884" s="186"/>
    </row>
    <row r="1885" spans="2:28" x14ac:dyDescent="0.2">
      <c r="B1885" s="182"/>
      <c r="C1885" s="182"/>
      <c r="D1885" s="182"/>
      <c r="E1885" s="182"/>
      <c r="F1885" s="182"/>
      <c r="I1885" s="40"/>
      <c r="J1885" s="186"/>
      <c r="K1885" s="186"/>
      <c r="L1885" s="186"/>
      <c r="M1885" s="186"/>
      <c r="N1885" s="186"/>
      <c r="O1885" s="186"/>
      <c r="P1885" s="186"/>
      <c r="Q1885" s="182"/>
      <c r="R1885" s="182"/>
      <c r="S1885" s="182"/>
      <c r="T1885" s="186"/>
      <c r="U1885" s="186"/>
    </row>
    <row r="1886" spans="2:28" x14ac:dyDescent="0.2">
      <c r="B1886" s="182"/>
      <c r="C1886" s="182"/>
      <c r="D1886" s="182"/>
      <c r="E1886" s="182"/>
      <c r="F1886" s="182"/>
      <c r="I1886" s="40"/>
      <c r="J1886" s="186"/>
      <c r="K1886" s="186"/>
      <c r="L1886" s="186"/>
      <c r="M1886" s="186"/>
      <c r="N1886" s="186"/>
      <c r="O1886" s="186"/>
      <c r="P1886" s="186"/>
      <c r="Q1886" s="182"/>
      <c r="R1886" s="182"/>
      <c r="S1886" s="182"/>
      <c r="T1886" s="186"/>
      <c r="U1886" s="186"/>
    </row>
    <row r="1887" spans="2:28" x14ac:dyDescent="0.2">
      <c r="B1887" s="182"/>
      <c r="C1887" s="182"/>
      <c r="D1887" s="182"/>
      <c r="E1887" s="182"/>
      <c r="F1887" s="182"/>
      <c r="I1887" s="40"/>
      <c r="J1887" s="186"/>
      <c r="K1887" s="186"/>
      <c r="L1887" s="186"/>
      <c r="M1887" s="186"/>
      <c r="N1887" s="186"/>
      <c r="O1887" s="186"/>
      <c r="P1887" s="186"/>
      <c r="Q1887" s="182"/>
      <c r="R1887" s="182"/>
      <c r="S1887" s="182"/>
      <c r="T1887" s="186"/>
      <c r="U1887" s="186"/>
    </row>
    <row r="1888" spans="2:28" x14ac:dyDescent="0.2">
      <c r="B1888" s="182"/>
      <c r="C1888" s="182"/>
      <c r="D1888" s="182"/>
      <c r="E1888" s="182"/>
      <c r="F1888" s="182"/>
      <c r="I1888" s="40"/>
      <c r="J1888" s="186"/>
      <c r="K1888" s="186"/>
      <c r="L1888" s="186"/>
      <c r="M1888" s="186"/>
      <c r="N1888" s="186"/>
      <c r="O1888" s="186"/>
      <c r="P1888" s="186"/>
      <c r="Q1888" s="182"/>
      <c r="R1888" s="182"/>
      <c r="S1888" s="182"/>
      <c r="T1888" s="186"/>
      <c r="U1888" s="186"/>
    </row>
    <row r="1889" spans="2:21" x14ac:dyDescent="0.2">
      <c r="B1889" s="182"/>
      <c r="C1889" s="182"/>
      <c r="D1889" s="182"/>
      <c r="E1889" s="182"/>
      <c r="F1889" s="182"/>
      <c r="I1889" s="40"/>
      <c r="J1889" s="186"/>
      <c r="K1889" s="186"/>
      <c r="L1889" s="186"/>
      <c r="M1889" s="186"/>
      <c r="N1889" s="186"/>
      <c r="O1889" s="186"/>
      <c r="P1889" s="186"/>
      <c r="Q1889" s="182"/>
      <c r="R1889" s="182"/>
      <c r="S1889" s="182"/>
      <c r="T1889" s="186"/>
      <c r="U1889" s="186"/>
    </row>
    <row r="1890" spans="2:21" x14ac:dyDescent="0.2">
      <c r="B1890" s="182"/>
      <c r="C1890" s="182"/>
      <c r="D1890" s="182"/>
      <c r="E1890" s="182"/>
      <c r="F1890" s="182"/>
      <c r="I1890" s="40"/>
      <c r="J1890" s="186"/>
      <c r="K1890" s="186"/>
      <c r="L1890" s="186"/>
      <c r="M1890" s="186"/>
      <c r="N1890" s="186"/>
      <c r="O1890" s="186"/>
      <c r="P1890" s="186"/>
      <c r="Q1890" s="182"/>
      <c r="R1890" s="182"/>
      <c r="S1890" s="182"/>
      <c r="T1890" s="186"/>
      <c r="U1890" s="186"/>
    </row>
    <row r="1891" spans="2:21" x14ac:dyDescent="0.2">
      <c r="B1891" s="182"/>
      <c r="C1891" s="182"/>
      <c r="D1891" s="182"/>
      <c r="E1891" s="182"/>
      <c r="F1891" s="182"/>
      <c r="I1891" s="40"/>
      <c r="J1891" s="186"/>
      <c r="K1891" s="186"/>
      <c r="L1891" s="186"/>
      <c r="M1891" s="186"/>
      <c r="N1891" s="186"/>
      <c r="O1891" s="186"/>
      <c r="P1891" s="186"/>
      <c r="Q1891" s="182"/>
      <c r="R1891" s="182"/>
      <c r="S1891" s="182"/>
      <c r="T1891" s="186"/>
      <c r="U1891" s="186"/>
    </row>
    <row r="1893" spans="2:21" x14ac:dyDescent="0.2">
      <c r="B1893" s="182"/>
      <c r="C1893" s="182"/>
      <c r="D1893" s="182"/>
      <c r="E1893" s="182"/>
      <c r="F1893" s="182"/>
      <c r="I1893" s="40"/>
      <c r="J1893" s="186"/>
      <c r="K1893" s="186"/>
      <c r="L1893" s="186"/>
      <c r="M1893" s="186"/>
      <c r="N1893" s="186"/>
      <c r="O1893" s="186"/>
      <c r="P1893" s="186"/>
      <c r="Q1893" s="182"/>
      <c r="R1893" s="182"/>
      <c r="S1893" s="182"/>
      <c r="T1893" s="186"/>
      <c r="U1893" s="186"/>
    </row>
    <row r="1894" spans="2:21" x14ac:dyDescent="0.2">
      <c r="B1894" s="182"/>
      <c r="C1894" s="182"/>
      <c r="D1894" s="182"/>
      <c r="E1894" s="182"/>
      <c r="F1894" s="182"/>
      <c r="I1894" s="40"/>
      <c r="J1894" s="186"/>
      <c r="K1894" s="186"/>
      <c r="L1894" s="186"/>
      <c r="M1894" s="186"/>
      <c r="N1894" s="186"/>
      <c r="O1894" s="186"/>
      <c r="P1894" s="186"/>
      <c r="Q1894" s="182"/>
      <c r="R1894" s="182"/>
      <c r="S1894" s="182"/>
      <c r="T1894" s="186"/>
      <c r="U1894" s="186"/>
    </row>
    <row r="1895" spans="2:21" x14ac:dyDescent="0.2">
      <c r="B1895" s="182"/>
      <c r="C1895" s="182"/>
      <c r="D1895" s="182"/>
      <c r="E1895" s="182"/>
      <c r="F1895" s="182"/>
      <c r="I1895" s="40"/>
      <c r="J1895" s="186"/>
      <c r="K1895" s="186"/>
      <c r="L1895" s="186"/>
      <c r="M1895" s="186"/>
      <c r="N1895" s="186"/>
      <c r="O1895" s="186"/>
      <c r="P1895" s="186"/>
      <c r="Q1895" s="182"/>
      <c r="R1895" s="182"/>
      <c r="S1895" s="182"/>
      <c r="T1895" s="186"/>
      <c r="U1895" s="186"/>
    </row>
    <row r="1896" spans="2:21" x14ac:dyDescent="0.2">
      <c r="B1896" s="182"/>
      <c r="C1896" s="182"/>
      <c r="D1896" s="182"/>
      <c r="E1896" s="182"/>
      <c r="F1896" s="182"/>
      <c r="I1896" s="40"/>
      <c r="J1896" s="186"/>
      <c r="K1896" s="186"/>
      <c r="L1896" s="186"/>
      <c r="M1896" s="186"/>
      <c r="N1896" s="186"/>
      <c r="O1896" s="186"/>
      <c r="P1896" s="186"/>
      <c r="Q1896" s="182"/>
      <c r="R1896" s="182"/>
      <c r="S1896" s="182"/>
      <c r="T1896" s="186"/>
      <c r="U1896" s="186"/>
    </row>
    <row r="1897" spans="2:21" x14ac:dyDescent="0.2">
      <c r="B1897" s="182"/>
      <c r="C1897" s="182"/>
      <c r="D1897" s="182"/>
      <c r="E1897" s="182"/>
      <c r="F1897" s="182"/>
      <c r="I1897" s="40"/>
      <c r="J1897" s="186"/>
      <c r="K1897" s="186"/>
      <c r="L1897" s="186"/>
      <c r="M1897" s="186"/>
      <c r="N1897" s="186"/>
      <c r="O1897" s="186"/>
      <c r="P1897" s="186"/>
      <c r="Q1897" s="182"/>
      <c r="R1897" s="182"/>
      <c r="S1897" s="182"/>
      <c r="T1897" s="186"/>
      <c r="U1897" s="186"/>
    </row>
    <row r="1898" spans="2:21" x14ac:dyDescent="0.2">
      <c r="B1898" s="182"/>
      <c r="C1898" s="182"/>
      <c r="D1898" s="182"/>
      <c r="E1898" s="182"/>
      <c r="F1898" s="182"/>
      <c r="I1898" s="40"/>
      <c r="J1898" s="186"/>
      <c r="K1898" s="186"/>
      <c r="L1898" s="186"/>
      <c r="M1898" s="186"/>
      <c r="N1898" s="186"/>
      <c r="O1898" s="186"/>
      <c r="P1898" s="186"/>
      <c r="Q1898" s="182"/>
      <c r="R1898" s="182"/>
      <c r="S1898" s="182"/>
      <c r="T1898" s="186"/>
      <c r="U1898" s="186"/>
    </row>
    <row r="1899" spans="2:21" x14ac:dyDescent="0.2">
      <c r="B1899" s="182"/>
      <c r="C1899" s="182"/>
      <c r="D1899" s="182"/>
      <c r="E1899" s="182"/>
      <c r="F1899" s="182"/>
      <c r="I1899" s="40"/>
      <c r="J1899" s="186"/>
      <c r="K1899" s="186"/>
      <c r="L1899" s="186"/>
      <c r="M1899" s="186"/>
      <c r="N1899" s="186"/>
      <c r="O1899" s="186"/>
      <c r="P1899" s="186"/>
      <c r="Q1899" s="182"/>
      <c r="R1899" s="182"/>
      <c r="S1899" s="182"/>
      <c r="T1899" s="186"/>
      <c r="U1899" s="186"/>
    </row>
    <row r="1900" spans="2:21" x14ac:dyDescent="0.2">
      <c r="B1900" s="182"/>
      <c r="C1900" s="182"/>
      <c r="D1900" s="182"/>
      <c r="E1900" s="182"/>
      <c r="F1900" s="182"/>
      <c r="I1900" s="40"/>
      <c r="J1900" s="186"/>
      <c r="K1900" s="186"/>
      <c r="L1900" s="186"/>
      <c r="M1900" s="186"/>
      <c r="N1900" s="186"/>
      <c r="O1900" s="186"/>
      <c r="P1900" s="186"/>
      <c r="Q1900" s="182"/>
      <c r="R1900" s="182"/>
      <c r="S1900" s="182"/>
      <c r="T1900" s="186"/>
      <c r="U1900" s="186"/>
    </row>
    <row r="1901" spans="2:21" x14ac:dyDescent="0.2">
      <c r="B1901" s="182"/>
      <c r="C1901" s="182"/>
      <c r="D1901" s="182"/>
      <c r="E1901" s="182"/>
      <c r="F1901" s="182"/>
      <c r="I1901" s="40"/>
      <c r="J1901" s="186"/>
      <c r="K1901" s="186"/>
      <c r="L1901" s="186"/>
      <c r="M1901" s="186"/>
      <c r="N1901" s="186"/>
      <c r="O1901" s="186"/>
      <c r="P1901" s="186"/>
      <c r="Q1901" s="182"/>
      <c r="R1901" s="182"/>
      <c r="S1901" s="182"/>
      <c r="T1901" s="186"/>
      <c r="U1901" s="186"/>
    </row>
    <row r="1902" spans="2:21" x14ac:dyDescent="0.2">
      <c r="B1902" s="182"/>
      <c r="C1902" s="182"/>
      <c r="D1902" s="182"/>
      <c r="E1902" s="182"/>
      <c r="F1902" s="182"/>
      <c r="I1902" s="40"/>
      <c r="J1902" s="186"/>
      <c r="K1902" s="186"/>
      <c r="L1902" s="186"/>
      <c r="M1902" s="186"/>
      <c r="N1902" s="186"/>
      <c r="O1902" s="186"/>
      <c r="P1902" s="186"/>
      <c r="Q1902" s="182"/>
      <c r="R1902" s="182"/>
      <c r="S1902" s="182"/>
      <c r="T1902" s="186"/>
      <c r="U1902" s="186"/>
    </row>
    <row r="1903" spans="2:21" x14ac:dyDescent="0.2">
      <c r="B1903" s="182"/>
      <c r="C1903" s="182"/>
      <c r="D1903" s="182"/>
      <c r="E1903" s="182"/>
      <c r="F1903" s="182"/>
      <c r="I1903" s="40"/>
      <c r="J1903" s="186"/>
      <c r="K1903" s="186"/>
      <c r="L1903" s="186"/>
      <c r="M1903" s="186"/>
      <c r="N1903" s="186"/>
      <c r="O1903" s="186"/>
      <c r="P1903" s="186"/>
      <c r="Q1903" s="182"/>
      <c r="R1903" s="182"/>
      <c r="S1903" s="182"/>
      <c r="T1903" s="186"/>
      <c r="U1903" s="186"/>
    </row>
    <row r="1904" spans="2:21" x14ac:dyDescent="0.2">
      <c r="B1904" s="182"/>
      <c r="C1904" s="182"/>
      <c r="D1904" s="182"/>
      <c r="E1904" s="182"/>
      <c r="F1904" s="182"/>
      <c r="I1904" s="40"/>
      <c r="J1904" s="186"/>
      <c r="K1904" s="186"/>
      <c r="L1904" s="186"/>
      <c r="M1904" s="186"/>
      <c r="N1904" s="186"/>
      <c r="O1904" s="186"/>
      <c r="P1904" s="186"/>
      <c r="Q1904" s="182"/>
      <c r="R1904" s="182"/>
      <c r="S1904" s="182"/>
      <c r="T1904" s="186"/>
      <c r="U1904" s="186"/>
    </row>
    <row r="1905" spans="2:21" x14ac:dyDescent="0.2">
      <c r="B1905" s="182"/>
      <c r="C1905" s="182"/>
      <c r="D1905" s="182"/>
      <c r="E1905" s="182"/>
      <c r="F1905" s="182"/>
      <c r="I1905" s="40"/>
      <c r="J1905" s="186"/>
      <c r="K1905" s="186"/>
      <c r="L1905" s="186"/>
      <c r="M1905" s="186"/>
      <c r="N1905" s="186"/>
      <c r="O1905" s="186"/>
      <c r="P1905" s="186"/>
      <c r="Q1905" s="182"/>
      <c r="R1905" s="182"/>
      <c r="S1905" s="182"/>
      <c r="T1905" s="186"/>
      <c r="U1905" s="186"/>
    </row>
    <row r="1906" spans="2:21" x14ac:dyDescent="0.2">
      <c r="B1906" s="182"/>
      <c r="C1906" s="182"/>
      <c r="D1906" s="182"/>
      <c r="E1906" s="182"/>
      <c r="F1906" s="182"/>
      <c r="I1906" s="40"/>
      <c r="J1906" s="186"/>
      <c r="K1906" s="186"/>
      <c r="L1906" s="186"/>
      <c r="M1906" s="186"/>
      <c r="N1906" s="186"/>
      <c r="O1906" s="186"/>
      <c r="P1906" s="186"/>
      <c r="Q1906" s="182"/>
      <c r="R1906" s="182"/>
      <c r="S1906" s="182"/>
      <c r="T1906" s="186"/>
      <c r="U1906" s="186"/>
    </row>
    <row r="1907" spans="2:21" x14ac:dyDescent="0.2">
      <c r="B1907" s="182"/>
      <c r="C1907" s="182"/>
      <c r="D1907" s="182"/>
      <c r="E1907" s="182"/>
      <c r="F1907" s="182"/>
      <c r="I1907" s="40"/>
      <c r="J1907" s="186"/>
      <c r="K1907" s="186"/>
      <c r="L1907" s="186"/>
      <c r="M1907" s="186"/>
      <c r="N1907" s="186"/>
      <c r="O1907" s="186"/>
      <c r="P1907" s="186"/>
      <c r="Q1907" s="182"/>
      <c r="R1907" s="182"/>
      <c r="S1907" s="182"/>
      <c r="T1907" s="186"/>
      <c r="U1907" s="186"/>
    </row>
    <row r="1908" spans="2:21" x14ac:dyDescent="0.2">
      <c r="B1908" s="182"/>
      <c r="C1908" s="182"/>
      <c r="D1908" s="182"/>
      <c r="E1908" s="182"/>
      <c r="F1908" s="182"/>
      <c r="I1908" s="40"/>
      <c r="J1908" s="186"/>
      <c r="K1908" s="186"/>
      <c r="L1908" s="186"/>
      <c r="M1908" s="186"/>
      <c r="N1908" s="186"/>
      <c r="O1908" s="186"/>
      <c r="P1908" s="186"/>
      <c r="Q1908" s="182"/>
      <c r="R1908" s="182"/>
      <c r="S1908" s="182"/>
      <c r="T1908" s="186"/>
      <c r="U1908" s="186"/>
    </row>
    <row r="1909" spans="2:21" x14ac:dyDescent="0.2">
      <c r="B1909" s="182"/>
      <c r="C1909" s="182"/>
      <c r="D1909" s="182"/>
      <c r="E1909" s="182"/>
      <c r="F1909" s="182"/>
      <c r="I1909" s="40"/>
      <c r="J1909" s="186"/>
      <c r="K1909" s="186"/>
      <c r="L1909" s="186"/>
      <c r="M1909" s="186"/>
      <c r="N1909" s="186"/>
      <c r="O1909" s="186"/>
      <c r="P1909" s="186"/>
      <c r="Q1909" s="182"/>
      <c r="R1909" s="182"/>
      <c r="S1909" s="182"/>
      <c r="T1909" s="186"/>
      <c r="U1909" s="186"/>
    </row>
    <row r="1910" spans="2:21" x14ac:dyDescent="0.2">
      <c r="B1910" s="182"/>
      <c r="C1910" s="182"/>
      <c r="D1910" s="182"/>
      <c r="E1910" s="182"/>
      <c r="F1910" s="182"/>
      <c r="I1910" s="40"/>
      <c r="J1910" s="186"/>
      <c r="K1910" s="186"/>
      <c r="L1910" s="186"/>
      <c r="M1910" s="186"/>
      <c r="N1910" s="186"/>
      <c r="O1910" s="186"/>
      <c r="P1910" s="186"/>
      <c r="Q1910" s="182"/>
      <c r="R1910" s="182"/>
      <c r="S1910" s="182"/>
      <c r="T1910" s="186"/>
      <c r="U1910" s="186"/>
    </row>
    <row r="1911" spans="2:21" x14ac:dyDescent="0.2">
      <c r="B1911" s="182"/>
      <c r="C1911" s="182"/>
      <c r="D1911" s="182"/>
      <c r="E1911" s="182"/>
      <c r="F1911" s="182"/>
      <c r="I1911" s="40"/>
      <c r="J1911" s="186"/>
      <c r="K1911" s="186"/>
      <c r="L1911" s="186"/>
      <c r="M1911" s="186"/>
      <c r="N1911" s="186"/>
      <c r="O1911" s="186"/>
      <c r="P1911" s="186"/>
      <c r="Q1911" s="182"/>
      <c r="R1911" s="182"/>
      <c r="S1911" s="182"/>
      <c r="T1911" s="186"/>
      <c r="U1911" s="186"/>
    </row>
    <row r="1912" spans="2:21" x14ac:dyDescent="0.2">
      <c r="B1912" s="182"/>
      <c r="C1912" s="182"/>
      <c r="D1912" s="182"/>
      <c r="E1912" s="182"/>
      <c r="F1912" s="182"/>
      <c r="I1912" s="40"/>
      <c r="J1912" s="186"/>
      <c r="K1912" s="186"/>
      <c r="L1912" s="186"/>
      <c r="M1912" s="186"/>
      <c r="N1912" s="186"/>
      <c r="O1912" s="186"/>
      <c r="P1912" s="186"/>
      <c r="Q1912" s="182"/>
      <c r="R1912" s="182"/>
      <c r="S1912" s="182"/>
      <c r="T1912" s="186"/>
      <c r="U1912" s="186"/>
    </row>
    <row r="1913" spans="2:21" x14ac:dyDescent="0.2">
      <c r="B1913" s="182"/>
      <c r="C1913" s="182"/>
      <c r="D1913" s="182"/>
      <c r="E1913" s="182"/>
      <c r="F1913" s="182"/>
      <c r="I1913" s="40"/>
      <c r="J1913" s="186"/>
      <c r="K1913" s="186"/>
      <c r="L1913" s="186"/>
      <c r="M1913" s="186"/>
      <c r="N1913" s="186"/>
      <c r="O1913" s="186"/>
      <c r="P1913" s="186"/>
      <c r="Q1913" s="182"/>
      <c r="R1913" s="182"/>
      <c r="S1913" s="182"/>
      <c r="T1913" s="186"/>
      <c r="U1913" s="186"/>
    </row>
    <row r="1914" spans="2:21" x14ac:dyDescent="0.2">
      <c r="B1914" s="182"/>
      <c r="C1914" s="182"/>
      <c r="D1914" s="182"/>
      <c r="E1914" s="182"/>
      <c r="F1914" s="182"/>
      <c r="I1914" s="40"/>
      <c r="J1914" s="186"/>
      <c r="K1914" s="186"/>
      <c r="L1914" s="186"/>
      <c r="M1914" s="186"/>
      <c r="N1914" s="186"/>
      <c r="O1914" s="186"/>
      <c r="P1914" s="186"/>
      <c r="Q1914" s="182"/>
      <c r="R1914" s="182"/>
      <c r="S1914" s="182"/>
      <c r="T1914" s="186"/>
      <c r="U1914" s="186"/>
    </row>
    <row r="1915" spans="2:21" x14ac:dyDescent="0.2">
      <c r="B1915" s="182"/>
      <c r="C1915" s="182"/>
      <c r="D1915" s="182"/>
      <c r="E1915" s="182"/>
      <c r="F1915" s="182"/>
      <c r="I1915" s="40"/>
      <c r="J1915" s="186"/>
      <c r="K1915" s="186"/>
      <c r="L1915" s="186"/>
      <c r="M1915" s="186"/>
      <c r="N1915" s="186"/>
      <c r="O1915" s="186"/>
      <c r="P1915" s="186"/>
      <c r="Q1915" s="182"/>
      <c r="R1915" s="182"/>
      <c r="S1915" s="182"/>
      <c r="T1915" s="186"/>
      <c r="U1915" s="186"/>
    </row>
    <row r="1916" spans="2:21" x14ac:dyDescent="0.2">
      <c r="B1916" s="182"/>
      <c r="C1916" s="182"/>
      <c r="D1916" s="182"/>
      <c r="E1916" s="182"/>
      <c r="F1916" s="182"/>
      <c r="I1916" s="40"/>
      <c r="J1916" s="186"/>
      <c r="K1916" s="186"/>
      <c r="L1916" s="186"/>
      <c r="M1916" s="186"/>
      <c r="N1916" s="186"/>
      <c r="O1916" s="186"/>
      <c r="P1916" s="186"/>
      <c r="Q1916" s="182"/>
      <c r="R1916" s="182"/>
      <c r="S1916" s="182"/>
      <c r="T1916" s="186"/>
      <c r="U1916" s="186"/>
    </row>
    <row r="1917" spans="2:21" x14ac:dyDescent="0.2">
      <c r="B1917" s="182"/>
      <c r="C1917" s="182"/>
      <c r="D1917" s="182"/>
      <c r="E1917" s="182"/>
      <c r="F1917" s="182"/>
      <c r="I1917" s="40"/>
      <c r="J1917" s="186"/>
      <c r="K1917" s="186"/>
      <c r="L1917" s="186"/>
      <c r="M1917" s="186"/>
      <c r="N1917" s="186"/>
      <c r="O1917" s="186"/>
      <c r="P1917" s="186"/>
      <c r="Q1917" s="182"/>
      <c r="R1917" s="182"/>
      <c r="S1917" s="182"/>
      <c r="T1917" s="186"/>
      <c r="U1917" s="186"/>
    </row>
    <row r="1918" spans="2:21" x14ac:dyDescent="0.2">
      <c r="B1918" s="182"/>
      <c r="C1918" s="182"/>
      <c r="D1918" s="182"/>
      <c r="E1918" s="182"/>
      <c r="F1918" s="182"/>
      <c r="I1918" s="40"/>
      <c r="J1918" s="186"/>
      <c r="K1918" s="186"/>
      <c r="L1918" s="186"/>
      <c r="M1918" s="186"/>
      <c r="N1918" s="186"/>
      <c r="O1918" s="186"/>
      <c r="P1918" s="186"/>
      <c r="Q1918" s="182"/>
      <c r="R1918" s="182"/>
      <c r="S1918" s="182"/>
      <c r="T1918" s="186"/>
      <c r="U1918" s="186"/>
    </row>
    <row r="1919" spans="2:21" x14ac:dyDescent="0.2">
      <c r="B1919" s="182"/>
      <c r="C1919" s="182"/>
      <c r="D1919" s="182"/>
      <c r="E1919" s="182"/>
      <c r="F1919" s="182"/>
      <c r="I1919" s="40"/>
      <c r="J1919" s="186"/>
      <c r="K1919" s="186"/>
      <c r="L1919" s="186"/>
      <c r="M1919" s="186"/>
      <c r="N1919" s="186"/>
      <c r="O1919" s="186"/>
      <c r="P1919" s="186"/>
      <c r="Q1919" s="182"/>
      <c r="R1919" s="182"/>
      <c r="S1919" s="182"/>
      <c r="T1919" s="186"/>
      <c r="U1919" s="186"/>
    </row>
    <row r="1920" spans="2:21" x14ac:dyDescent="0.2">
      <c r="B1920" s="182"/>
      <c r="C1920" s="182"/>
      <c r="D1920" s="182"/>
      <c r="E1920" s="182"/>
      <c r="F1920" s="182"/>
      <c r="I1920" s="40"/>
      <c r="J1920" s="186"/>
      <c r="K1920" s="186"/>
      <c r="L1920" s="186"/>
      <c r="M1920" s="186"/>
      <c r="N1920" s="186"/>
      <c r="O1920" s="186"/>
      <c r="P1920" s="186"/>
      <c r="Q1920" s="182"/>
      <c r="R1920" s="182"/>
      <c r="S1920" s="182"/>
      <c r="T1920" s="186"/>
      <c r="U1920" s="186"/>
    </row>
    <row r="1921" spans="2:21" x14ac:dyDescent="0.2">
      <c r="B1921" s="182"/>
      <c r="C1921" s="182"/>
      <c r="D1921" s="182"/>
      <c r="E1921" s="182"/>
      <c r="F1921" s="182"/>
      <c r="I1921" s="40"/>
      <c r="J1921" s="186"/>
      <c r="K1921" s="186"/>
      <c r="L1921" s="186"/>
      <c r="M1921" s="186"/>
      <c r="N1921" s="186"/>
      <c r="O1921" s="186"/>
      <c r="P1921" s="186"/>
      <c r="Q1921" s="182"/>
      <c r="R1921" s="182"/>
      <c r="S1921" s="182"/>
      <c r="T1921" s="186"/>
      <c r="U1921" s="186"/>
    </row>
    <row r="1922" spans="2:21" x14ac:dyDescent="0.2">
      <c r="B1922" s="182"/>
      <c r="C1922" s="182"/>
      <c r="D1922" s="182"/>
      <c r="E1922" s="182"/>
      <c r="F1922" s="182"/>
      <c r="I1922" s="40"/>
      <c r="J1922" s="186"/>
      <c r="K1922" s="186"/>
      <c r="L1922" s="186"/>
      <c r="M1922" s="186"/>
      <c r="N1922" s="186"/>
      <c r="O1922" s="186"/>
      <c r="P1922" s="186"/>
      <c r="Q1922" s="182"/>
      <c r="R1922" s="182"/>
      <c r="S1922" s="182"/>
      <c r="T1922" s="186"/>
      <c r="U1922" s="186"/>
    </row>
    <row r="1923" spans="2:21" x14ac:dyDescent="0.2">
      <c r="B1923" s="182"/>
      <c r="C1923" s="182"/>
      <c r="D1923" s="182"/>
      <c r="E1923" s="182"/>
      <c r="F1923" s="182"/>
      <c r="I1923" s="40"/>
      <c r="J1923" s="186"/>
      <c r="K1923" s="186"/>
      <c r="L1923" s="186"/>
      <c r="M1923" s="186"/>
      <c r="N1923" s="186"/>
      <c r="O1923" s="186"/>
      <c r="P1923" s="186"/>
      <c r="Q1923" s="182"/>
      <c r="R1923" s="182"/>
      <c r="S1923" s="182"/>
      <c r="T1923" s="186"/>
      <c r="U1923" s="186"/>
    </row>
    <row r="1924" spans="2:21" x14ac:dyDescent="0.2">
      <c r="B1924" s="182"/>
      <c r="C1924" s="182"/>
      <c r="D1924" s="182"/>
      <c r="E1924" s="182"/>
      <c r="F1924" s="182"/>
      <c r="I1924" s="40"/>
      <c r="J1924" s="186"/>
      <c r="K1924" s="186"/>
      <c r="L1924" s="186"/>
      <c r="M1924" s="186"/>
      <c r="N1924" s="186"/>
      <c r="O1924" s="186"/>
      <c r="P1924" s="186"/>
      <c r="Q1924" s="182"/>
      <c r="R1924" s="182"/>
      <c r="S1924" s="182"/>
      <c r="T1924" s="186"/>
      <c r="U1924" s="186"/>
    </row>
    <row r="1925" spans="2:21" x14ac:dyDescent="0.2">
      <c r="B1925" s="182"/>
      <c r="C1925" s="182"/>
      <c r="D1925" s="182"/>
      <c r="E1925" s="182"/>
      <c r="F1925" s="182"/>
      <c r="I1925" s="40"/>
      <c r="J1925" s="186"/>
      <c r="K1925" s="186"/>
      <c r="L1925" s="186"/>
      <c r="M1925" s="186"/>
      <c r="N1925" s="186"/>
      <c r="O1925" s="186"/>
      <c r="P1925" s="186"/>
      <c r="Q1925" s="182"/>
      <c r="R1925" s="182"/>
      <c r="S1925" s="182"/>
      <c r="T1925" s="186"/>
      <c r="U1925" s="186"/>
    </row>
    <row r="1926" spans="2:21" x14ac:dyDescent="0.2">
      <c r="B1926" s="182"/>
      <c r="C1926" s="182"/>
      <c r="D1926" s="182"/>
      <c r="E1926" s="182"/>
      <c r="F1926" s="182"/>
      <c r="I1926" s="40"/>
      <c r="J1926" s="186"/>
      <c r="K1926" s="186"/>
      <c r="L1926" s="186"/>
      <c r="M1926" s="186"/>
      <c r="N1926" s="186"/>
      <c r="O1926" s="186"/>
      <c r="P1926" s="186"/>
      <c r="Q1926" s="182"/>
      <c r="R1926" s="182"/>
      <c r="S1926" s="182"/>
      <c r="T1926" s="186"/>
      <c r="U1926" s="186"/>
    </row>
    <row r="1927" spans="2:21" x14ac:dyDescent="0.2">
      <c r="B1927" s="182"/>
      <c r="C1927" s="182"/>
      <c r="D1927" s="182"/>
      <c r="E1927" s="182"/>
      <c r="F1927" s="182"/>
      <c r="I1927" s="40"/>
      <c r="J1927" s="186"/>
      <c r="K1927" s="186"/>
      <c r="L1927" s="186"/>
      <c r="M1927" s="186"/>
      <c r="N1927" s="186"/>
      <c r="O1927" s="186"/>
      <c r="P1927" s="186"/>
      <c r="Q1927" s="182"/>
      <c r="R1927" s="182"/>
      <c r="S1927" s="182"/>
      <c r="T1927" s="186"/>
      <c r="U1927" s="186"/>
    </row>
    <row r="1928" spans="2:21" x14ac:dyDescent="0.2">
      <c r="B1928" s="182"/>
      <c r="C1928" s="182"/>
      <c r="D1928" s="182"/>
      <c r="E1928" s="182"/>
      <c r="F1928" s="182"/>
      <c r="I1928" s="40"/>
      <c r="J1928" s="186"/>
      <c r="K1928" s="186"/>
      <c r="L1928" s="186"/>
      <c r="M1928" s="186"/>
      <c r="N1928" s="186"/>
      <c r="O1928" s="186"/>
      <c r="P1928" s="186"/>
      <c r="Q1928" s="182"/>
      <c r="R1928" s="182"/>
      <c r="S1928" s="182"/>
      <c r="T1928" s="186"/>
      <c r="U1928" s="186"/>
    </row>
    <row r="1929" spans="2:21" x14ac:dyDescent="0.2">
      <c r="B1929" s="182"/>
      <c r="C1929" s="182"/>
      <c r="D1929" s="182"/>
      <c r="E1929" s="182"/>
      <c r="F1929" s="182"/>
      <c r="I1929" s="40"/>
      <c r="J1929" s="186"/>
      <c r="K1929" s="186"/>
      <c r="L1929" s="186"/>
      <c r="M1929" s="186"/>
      <c r="N1929" s="186"/>
      <c r="O1929" s="186"/>
      <c r="P1929" s="186"/>
      <c r="Q1929" s="182"/>
      <c r="R1929" s="182"/>
      <c r="S1929" s="182"/>
      <c r="T1929" s="186"/>
      <c r="U1929" s="186"/>
    </row>
    <row r="1930" spans="2:21" x14ac:dyDescent="0.2">
      <c r="B1930" s="182"/>
      <c r="C1930" s="182"/>
      <c r="D1930" s="182"/>
      <c r="E1930" s="182"/>
      <c r="F1930" s="182"/>
      <c r="I1930" s="40"/>
      <c r="J1930" s="186"/>
      <c r="K1930" s="186"/>
      <c r="L1930" s="186"/>
      <c r="M1930" s="186"/>
      <c r="N1930" s="186"/>
      <c r="O1930" s="186"/>
      <c r="P1930" s="186"/>
      <c r="Q1930" s="182"/>
      <c r="R1930" s="182"/>
      <c r="S1930" s="182"/>
      <c r="T1930" s="186"/>
      <c r="U1930" s="186"/>
    </row>
    <row r="1931" spans="2:21" x14ac:dyDescent="0.2">
      <c r="B1931" s="182"/>
      <c r="C1931" s="182"/>
      <c r="D1931" s="182"/>
      <c r="E1931" s="182"/>
      <c r="F1931" s="182"/>
      <c r="I1931" s="40"/>
      <c r="J1931" s="186"/>
      <c r="K1931" s="186"/>
      <c r="L1931" s="186"/>
      <c r="M1931" s="186"/>
      <c r="N1931" s="186"/>
      <c r="O1931" s="186"/>
      <c r="P1931" s="186"/>
      <c r="Q1931" s="182"/>
      <c r="R1931" s="182"/>
      <c r="S1931" s="182"/>
      <c r="T1931" s="186"/>
      <c r="U1931" s="186"/>
    </row>
    <row r="1932" spans="2:21" x14ac:dyDescent="0.2">
      <c r="B1932" s="182"/>
      <c r="C1932" s="182"/>
      <c r="D1932" s="182"/>
      <c r="E1932" s="182"/>
      <c r="F1932" s="182"/>
      <c r="I1932" s="40"/>
      <c r="J1932" s="186"/>
      <c r="K1932" s="186"/>
      <c r="L1932" s="186"/>
      <c r="M1932" s="186"/>
      <c r="N1932" s="186"/>
      <c r="O1932" s="186"/>
      <c r="P1932" s="186"/>
      <c r="Q1932" s="182"/>
      <c r="R1932" s="182"/>
      <c r="S1932" s="182"/>
      <c r="T1932" s="186"/>
      <c r="U1932" s="186"/>
    </row>
    <row r="1933" spans="2:21" x14ac:dyDescent="0.2">
      <c r="B1933" s="182"/>
      <c r="C1933" s="182"/>
      <c r="D1933" s="182"/>
      <c r="E1933" s="182"/>
      <c r="F1933" s="182"/>
      <c r="I1933" s="40"/>
      <c r="J1933" s="186"/>
      <c r="K1933" s="186"/>
      <c r="L1933" s="186"/>
      <c r="M1933" s="186"/>
      <c r="N1933" s="186"/>
      <c r="O1933" s="186"/>
      <c r="P1933" s="186"/>
      <c r="Q1933" s="182"/>
      <c r="R1933" s="182"/>
      <c r="S1933" s="182"/>
      <c r="T1933" s="186"/>
      <c r="U1933" s="186"/>
    </row>
    <row r="1934" spans="2:21" x14ac:dyDescent="0.2">
      <c r="B1934" s="182"/>
      <c r="C1934" s="182"/>
      <c r="D1934" s="182"/>
      <c r="E1934" s="182"/>
      <c r="F1934" s="182"/>
      <c r="I1934" s="40"/>
      <c r="J1934" s="186"/>
      <c r="K1934" s="186"/>
      <c r="L1934" s="186"/>
      <c r="M1934" s="186"/>
      <c r="N1934" s="186"/>
      <c r="O1934" s="186"/>
      <c r="P1934" s="186"/>
      <c r="Q1934" s="182"/>
      <c r="R1934" s="182"/>
      <c r="S1934" s="182"/>
      <c r="T1934" s="186"/>
      <c r="U1934" s="186"/>
    </row>
    <row r="1935" spans="2:21" x14ac:dyDescent="0.2">
      <c r="B1935" s="182"/>
      <c r="C1935" s="182"/>
      <c r="D1935" s="182"/>
      <c r="E1935" s="182"/>
      <c r="F1935" s="182"/>
      <c r="I1935" s="40"/>
      <c r="J1935" s="186"/>
      <c r="K1935" s="186"/>
      <c r="L1935" s="186"/>
      <c r="M1935" s="186"/>
      <c r="N1935" s="186"/>
      <c r="O1935" s="186"/>
      <c r="P1935" s="186"/>
      <c r="Q1935" s="182"/>
      <c r="R1935" s="182"/>
      <c r="S1935" s="182"/>
      <c r="T1935" s="186"/>
      <c r="U1935" s="186"/>
    </row>
    <row r="1936" spans="2:21" x14ac:dyDescent="0.2">
      <c r="B1936" s="182"/>
      <c r="C1936" s="182"/>
      <c r="D1936" s="182"/>
      <c r="E1936" s="182"/>
      <c r="F1936" s="182"/>
      <c r="I1936" s="40"/>
      <c r="J1936" s="186"/>
      <c r="K1936" s="186"/>
      <c r="L1936" s="186"/>
      <c r="M1936" s="186"/>
      <c r="N1936" s="186"/>
      <c r="O1936" s="186"/>
      <c r="P1936" s="186"/>
      <c r="Q1936" s="182"/>
      <c r="R1936" s="182"/>
      <c r="S1936" s="182"/>
      <c r="T1936" s="186"/>
      <c r="U1936" s="186"/>
    </row>
    <row r="1937" spans="2:21" x14ac:dyDescent="0.2">
      <c r="B1937" s="182"/>
      <c r="C1937" s="182"/>
      <c r="D1937" s="182"/>
      <c r="E1937" s="182"/>
      <c r="F1937" s="182"/>
      <c r="I1937" s="40"/>
      <c r="J1937" s="186"/>
      <c r="K1937" s="186"/>
      <c r="L1937" s="186"/>
      <c r="M1937" s="186"/>
      <c r="N1937" s="186"/>
      <c r="O1937" s="186"/>
      <c r="P1937" s="186"/>
      <c r="Q1937" s="182"/>
      <c r="R1937" s="182"/>
      <c r="S1937" s="182"/>
      <c r="T1937" s="186"/>
      <c r="U1937" s="186"/>
    </row>
    <row r="1938" spans="2:21" x14ac:dyDescent="0.2">
      <c r="B1938" s="182"/>
      <c r="C1938" s="182"/>
      <c r="D1938" s="182"/>
      <c r="E1938" s="182"/>
      <c r="F1938" s="182"/>
      <c r="I1938" s="40"/>
      <c r="J1938" s="186"/>
      <c r="K1938" s="186"/>
      <c r="L1938" s="186"/>
      <c r="M1938" s="186"/>
      <c r="N1938" s="186"/>
      <c r="O1938" s="186"/>
      <c r="P1938" s="186"/>
      <c r="Q1938" s="182"/>
      <c r="R1938" s="182"/>
      <c r="S1938" s="182"/>
      <c r="T1938" s="186"/>
      <c r="U1938" s="186"/>
    </row>
    <row r="1939" spans="2:21" x14ac:dyDescent="0.2">
      <c r="B1939" s="182"/>
      <c r="C1939" s="182"/>
      <c r="D1939" s="182"/>
      <c r="E1939" s="182"/>
      <c r="F1939" s="182"/>
      <c r="I1939" s="40"/>
      <c r="J1939" s="186"/>
      <c r="K1939" s="186"/>
      <c r="L1939" s="186"/>
      <c r="M1939" s="186"/>
      <c r="N1939" s="186"/>
      <c r="O1939" s="186"/>
      <c r="P1939" s="186"/>
      <c r="Q1939" s="182"/>
      <c r="R1939" s="182"/>
      <c r="S1939" s="182"/>
      <c r="T1939" s="186"/>
      <c r="U1939" s="186"/>
    </row>
    <row r="1940" spans="2:21" x14ac:dyDescent="0.2">
      <c r="B1940" s="182"/>
      <c r="C1940" s="182"/>
      <c r="D1940" s="182"/>
      <c r="E1940" s="182"/>
      <c r="F1940" s="182"/>
      <c r="I1940" s="40"/>
      <c r="J1940" s="186"/>
      <c r="K1940" s="186"/>
      <c r="L1940" s="186"/>
      <c r="M1940" s="186"/>
      <c r="N1940" s="186"/>
      <c r="O1940" s="186"/>
      <c r="P1940" s="186"/>
      <c r="Q1940" s="182"/>
      <c r="R1940" s="182"/>
      <c r="S1940" s="182"/>
      <c r="T1940" s="186"/>
      <c r="U1940" s="186"/>
    </row>
    <row r="1941" spans="2:21" x14ac:dyDescent="0.2">
      <c r="B1941" s="182"/>
      <c r="C1941" s="182"/>
      <c r="D1941" s="182"/>
      <c r="E1941" s="182"/>
      <c r="F1941" s="182"/>
      <c r="I1941" s="40"/>
      <c r="J1941" s="186"/>
      <c r="K1941" s="186"/>
      <c r="L1941" s="186"/>
      <c r="M1941" s="186"/>
      <c r="N1941" s="186"/>
      <c r="O1941" s="186"/>
      <c r="P1941" s="186"/>
      <c r="Q1941" s="182"/>
      <c r="R1941" s="182"/>
      <c r="S1941" s="182"/>
      <c r="T1941" s="186"/>
      <c r="U1941" s="186"/>
    </row>
    <row r="1942" spans="2:21" x14ac:dyDescent="0.2">
      <c r="B1942" s="182"/>
      <c r="C1942" s="182"/>
      <c r="D1942" s="182"/>
      <c r="E1942" s="182"/>
      <c r="F1942" s="182"/>
      <c r="I1942" s="40"/>
      <c r="J1942" s="186"/>
      <c r="K1942" s="186"/>
      <c r="L1942" s="186"/>
      <c r="M1942" s="186"/>
      <c r="N1942" s="186"/>
      <c r="O1942" s="186"/>
      <c r="P1942" s="186"/>
      <c r="Q1942" s="182"/>
      <c r="R1942" s="182"/>
      <c r="S1942" s="182"/>
      <c r="T1942" s="186"/>
      <c r="U1942" s="186"/>
    </row>
    <row r="1943" spans="2:21" x14ac:dyDescent="0.2">
      <c r="B1943" s="182"/>
      <c r="C1943" s="182"/>
      <c r="D1943" s="182"/>
      <c r="E1943" s="182"/>
      <c r="F1943" s="182"/>
      <c r="I1943" s="40"/>
      <c r="J1943" s="186"/>
      <c r="K1943" s="186"/>
      <c r="L1943" s="186"/>
      <c r="M1943" s="186"/>
      <c r="N1943" s="186"/>
      <c r="O1943" s="186"/>
      <c r="P1943" s="186"/>
      <c r="Q1943" s="182"/>
      <c r="R1943" s="182"/>
      <c r="S1943" s="182"/>
      <c r="T1943" s="186"/>
      <c r="U1943" s="186"/>
    </row>
    <row r="1944" spans="2:21" x14ac:dyDescent="0.2">
      <c r="B1944" s="182"/>
      <c r="C1944" s="182"/>
      <c r="D1944" s="182"/>
      <c r="E1944" s="182"/>
      <c r="F1944" s="182"/>
      <c r="I1944" s="40"/>
      <c r="J1944" s="186"/>
      <c r="K1944" s="186"/>
      <c r="L1944" s="186"/>
      <c r="M1944" s="186"/>
      <c r="N1944" s="186"/>
      <c r="O1944" s="186"/>
      <c r="P1944" s="186"/>
      <c r="Q1944" s="182"/>
      <c r="R1944" s="182"/>
      <c r="S1944" s="182"/>
      <c r="T1944" s="186"/>
      <c r="U1944" s="186"/>
    </row>
    <row r="1945" spans="2:21" x14ac:dyDescent="0.2">
      <c r="B1945" s="182"/>
      <c r="C1945" s="182"/>
      <c r="D1945" s="182"/>
      <c r="E1945" s="182"/>
      <c r="F1945" s="182"/>
      <c r="I1945" s="40"/>
      <c r="J1945" s="186"/>
      <c r="K1945" s="186"/>
      <c r="L1945" s="186"/>
      <c r="M1945" s="186"/>
      <c r="N1945" s="186"/>
      <c r="O1945" s="186"/>
      <c r="P1945" s="186"/>
      <c r="Q1945" s="182"/>
      <c r="R1945" s="182"/>
      <c r="S1945" s="182"/>
      <c r="T1945" s="186"/>
      <c r="U1945" s="186"/>
    </row>
    <row r="1946" spans="2:21" x14ac:dyDescent="0.2">
      <c r="B1946" s="182"/>
      <c r="C1946" s="182"/>
      <c r="D1946" s="182"/>
      <c r="E1946" s="182"/>
      <c r="F1946" s="182"/>
      <c r="I1946" s="40"/>
      <c r="J1946" s="186"/>
      <c r="K1946" s="186"/>
      <c r="L1946" s="186"/>
      <c r="M1946" s="186"/>
      <c r="N1946" s="186"/>
      <c r="O1946" s="186"/>
      <c r="P1946" s="186"/>
      <c r="Q1946" s="182"/>
      <c r="R1946" s="182"/>
      <c r="S1946" s="182"/>
      <c r="T1946" s="186"/>
      <c r="U1946" s="186"/>
    </row>
    <row r="1947" spans="2:21" x14ac:dyDescent="0.2">
      <c r="B1947" s="182"/>
      <c r="C1947" s="182"/>
      <c r="D1947" s="182"/>
      <c r="E1947" s="182"/>
      <c r="F1947" s="182"/>
      <c r="I1947" s="40"/>
      <c r="J1947" s="186"/>
      <c r="K1947" s="186"/>
      <c r="L1947" s="186"/>
      <c r="M1947" s="186"/>
      <c r="N1947" s="186"/>
      <c r="O1947" s="186"/>
      <c r="P1947" s="186"/>
      <c r="Q1947" s="182"/>
      <c r="R1947" s="182"/>
      <c r="S1947" s="182"/>
      <c r="T1947" s="186"/>
      <c r="U1947" s="186"/>
    </row>
    <row r="1948" spans="2:21" x14ac:dyDescent="0.2">
      <c r="B1948" s="182"/>
      <c r="C1948" s="182"/>
      <c r="D1948" s="182"/>
      <c r="E1948" s="182"/>
      <c r="F1948" s="182"/>
      <c r="I1948" s="40"/>
      <c r="J1948" s="186"/>
      <c r="K1948" s="186"/>
      <c r="L1948" s="186"/>
      <c r="M1948" s="186"/>
      <c r="N1948" s="186"/>
      <c r="O1948" s="186"/>
      <c r="P1948" s="186"/>
      <c r="Q1948" s="182"/>
      <c r="R1948" s="182"/>
      <c r="S1948" s="182"/>
      <c r="T1948" s="186"/>
      <c r="U1948" s="186"/>
    </row>
    <row r="1949" spans="2:21" x14ac:dyDescent="0.2">
      <c r="B1949" s="182"/>
      <c r="C1949" s="182"/>
      <c r="D1949" s="182"/>
      <c r="E1949" s="182"/>
      <c r="F1949" s="182"/>
      <c r="I1949" s="40"/>
      <c r="J1949" s="186"/>
      <c r="K1949" s="186"/>
      <c r="L1949" s="186"/>
      <c r="M1949" s="186"/>
      <c r="N1949" s="186"/>
      <c r="O1949" s="186"/>
      <c r="P1949" s="186"/>
      <c r="Q1949" s="182"/>
      <c r="R1949" s="182"/>
      <c r="S1949" s="182"/>
      <c r="T1949" s="186"/>
      <c r="U1949" s="186"/>
    </row>
    <row r="1950" spans="2:21" x14ac:dyDescent="0.2">
      <c r="B1950" s="182"/>
      <c r="C1950" s="182"/>
      <c r="D1950" s="182"/>
      <c r="E1950" s="182"/>
      <c r="F1950" s="182"/>
      <c r="I1950" s="40"/>
      <c r="J1950" s="186"/>
      <c r="K1950" s="186"/>
      <c r="L1950" s="186"/>
      <c r="M1950" s="186"/>
      <c r="N1950" s="186"/>
      <c r="O1950" s="186"/>
      <c r="P1950" s="186"/>
      <c r="Q1950" s="182"/>
      <c r="R1950" s="182"/>
      <c r="S1950" s="182"/>
      <c r="T1950" s="186"/>
      <c r="U1950" s="186"/>
    </row>
    <row r="1951" spans="2:21" x14ac:dyDescent="0.2">
      <c r="B1951" s="182"/>
      <c r="C1951" s="182"/>
      <c r="D1951" s="182"/>
      <c r="E1951" s="182"/>
      <c r="F1951" s="182"/>
      <c r="I1951" s="40"/>
      <c r="J1951" s="186"/>
      <c r="K1951" s="186"/>
      <c r="L1951" s="186"/>
      <c r="M1951" s="186"/>
      <c r="N1951" s="186"/>
      <c r="O1951" s="186"/>
      <c r="P1951" s="186"/>
      <c r="Q1951" s="182"/>
      <c r="R1951" s="182"/>
      <c r="S1951" s="182"/>
      <c r="T1951" s="186"/>
      <c r="U1951" s="186"/>
    </row>
    <row r="1952" spans="2:21" x14ac:dyDescent="0.2">
      <c r="B1952" s="182"/>
      <c r="C1952" s="182"/>
      <c r="D1952" s="182"/>
      <c r="E1952" s="182"/>
      <c r="F1952" s="182"/>
      <c r="I1952" s="40"/>
      <c r="J1952" s="186"/>
      <c r="K1952" s="186"/>
      <c r="L1952" s="186"/>
      <c r="M1952" s="186"/>
      <c r="N1952" s="186"/>
      <c r="O1952" s="186"/>
      <c r="P1952" s="186"/>
      <c r="Q1952" s="182"/>
      <c r="R1952" s="182"/>
      <c r="S1952" s="182"/>
      <c r="T1952" s="186"/>
      <c r="U1952" s="186"/>
    </row>
    <row r="1953" spans="2:21" x14ac:dyDescent="0.2">
      <c r="B1953" s="182"/>
      <c r="C1953" s="182"/>
      <c r="D1953" s="182"/>
      <c r="E1953" s="182"/>
      <c r="F1953" s="182"/>
      <c r="I1953" s="40"/>
      <c r="J1953" s="186"/>
      <c r="K1953" s="186"/>
      <c r="L1953" s="186"/>
      <c r="M1953" s="186"/>
      <c r="N1953" s="186"/>
      <c r="O1953" s="186"/>
      <c r="P1953" s="186"/>
      <c r="Q1953" s="182"/>
      <c r="R1953" s="182"/>
      <c r="S1953" s="182"/>
      <c r="T1953" s="186"/>
      <c r="U1953" s="186"/>
    </row>
    <row r="1954" spans="2:21" x14ac:dyDescent="0.2">
      <c r="B1954" s="182"/>
      <c r="C1954" s="182"/>
      <c r="D1954" s="182"/>
      <c r="E1954" s="182"/>
      <c r="F1954" s="182"/>
      <c r="I1954" s="40"/>
      <c r="J1954" s="186"/>
      <c r="K1954" s="186"/>
      <c r="L1954" s="186"/>
      <c r="M1954" s="186"/>
      <c r="N1954" s="186"/>
      <c r="O1954" s="186"/>
      <c r="P1954" s="186"/>
      <c r="Q1954" s="182"/>
      <c r="R1954" s="182"/>
      <c r="S1954" s="182"/>
      <c r="T1954" s="186"/>
      <c r="U1954" s="186"/>
    </row>
    <row r="1955" spans="2:21" x14ac:dyDescent="0.2">
      <c r="B1955" s="182"/>
      <c r="C1955" s="182"/>
      <c r="D1955" s="182"/>
      <c r="E1955" s="182"/>
      <c r="F1955" s="182"/>
      <c r="I1955" s="40"/>
      <c r="J1955" s="186"/>
      <c r="K1955" s="186"/>
      <c r="L1955" s="186"/>
      <c r="M1955" s="186"/>
      <c r="N1955" s="186"/>
      <c r="O1955" s="186"/>
      <c r="P1955" s="186"/>
      <c r="Q1955" s="182"/>
      <c r="R1955" s="182"/>
      <c r="S1955" s="182"/>
      <c r="T1955" s="186"/>
      <c r="U1955" s="186"/>
    </row>
    <row r="1956" spans="2:21" x14ac:dyDescent="0.2">
      <c r="B1956" s="182"/>
      <c r="C1956" s="182"/>
      <c r="D1956" s="182"/>
      <c r="E1956" s="182"/>
      <c r="F1956" s="182"/>
      <c r="I1956" s="40"/>
      <c r="J1956" s="186"/>
      <c r="K1956" s="186"/>
      <c r="L1956" s="186"/>
      <c r="M1956" s="186"/>
      <c r="N1956" s="186"/>
      <c r="O1956" s="186"/>
      <c r="P1956" s="186"/>
      <c r="Q1956" s="182"/>
      <c r="R1956" s="182"/>
      <c r="S1956" s="182"/>
      <c r="T1956" s="186"/>
      <c r="U1956" s="186"/>
    </row>
    <row r="1957" spans="2:21" x14ac:dyDescent="0.2">
      <c r="B1957" s="182"/>
      <c r="C1957" s="182"/>
      <c r="D1957" s="182"/>
      <c r="E1957" s="182"/>
      <c r="F1957" s="182"/>
      <c r="I1957" s="40"/>
      <c r="J1957" s="186"/>
      <c r="K1957" s="186"/>
      <c r="L1957" s="186"/>
      <c r="M1957" s="186"/>
      <c r="N1957" s="186"/>
      <c r="O1957" s="186"/>
      <c r="P1957" s="186"/>
      <c r="Q1957" s="182"/>
      <c r="R1957" s="182"/>
      <c r="S1957" s="182"/>
      <c r="T1957" s="186"/>
      <c r="U1957" s="186"/>
    </row>
    <row r="1958" spans="2:21" x14ac:dyDescent="0.2">
      <c r="B1958" s="182"/>
      <c r="C1958" s="182"/>
      <c r="D1958" s="182"/>
      <c r="E1958" s="182"/>
      <c r="F1958" s="182"/>
      <c r="I1958" s="40"/>
      <c r="J1958" s="186"/>
      <c r="K1958" s="186"/>
      <c r="L1958" s="186"/>
      <c r="M1958" s="186"/>
      <c r="N1958" s="186"/>
      <c r="O1958" s="186"/>
      <c r="P1958" s="186"/>
      <c r="Q1958" s="182"/>
      <c r="R1958" s="182"/>
      <c r="S1958" s="182"/>
      <c r="T1958" s="186"/>
      <c r="U1958" s="186"/>
    </row>
    <row r="1959" spans="2:21" x14ac:dyDescent="0.2">
      <c r="B1959" s="182"/>
      <c r="C1959" s="182"/>
      <c r="D1959" s="182"/>
      <c r="E1959" s="182"/>
      <c r="F1959" s="182"/>
      <c r="I1959" s="40"/>
      <c r="J1959" s="186"/>
      <c r="K1959" s="186"/>
      <c r="L1959" s="186"/>
      <c r="M1959" s="186"/>
      <c r="N1959" s="186"/>
      <c r="O1959" s="186"/>
      <c r="P1959" s="186"/>
      <c r="Q1959" s="182"/>
      <c r="R1959" s="182"/>
      <c r="S1959" s="182"/>
      <c r="T1959" s="186"/>
      <c r="U1959" s="186"/>
    </row>
    <row r="1960" spans="2:21" x14ac:dyDescent="0.2">
      <c r="B1960" s="182"/>
      <c r="C1960" s="182"/>
      <c r="D1960" s="182"/>
      <c r="E1960" s="182"/>
      <c r="F1960" s="182"/>
      <c r="I1960" s="40"/>
      <c r="J1960" s="186"/>
      <c r="K1960" s="186"/>
      <c r="L1960" s="186"/>
      <c r="M1960" s="186"/>
      <c r="N1960" s="186"/>
      <c r="O1960" s="186"/>
      <c r="P1960" s="186"/>
      <c r="Q1960" s="182"/>
      <c r="R1960" s="182"/>
      <c r="S1960" s="182"/>
      <c r="T1960" s="186"/>
      <c r="U1960" s="186"/>
    </row>
    <row r="1961" spans="2:21" x14ac:dyDescent="0.2">
      <c r="B1961" s="182"/>
      <c r="C1961" s="182"/>
      <c r="D1961" s="182"/>
      <c r="E1961" s="182"/>
      <c r="F1961" s="182"/>
      <c r="I1961" s="40"/>
      <c r="J1961" s="186"/>
      <c r="K1961" s="186"/>
      <c r="L1961" s="186"/>
      <c r="M1961" s="186"/>
      <c r="N1961" s="186"/>
      <c r="O1961" s="186"/>
      <c r="P1961" s="186"/>
      <c r="Q1961" s="182"/>
      <c r="R1961" s="182"/>
      <c r="S1961" s="182"/>
      <c r="T1961" s="186"/>
      <c r="U1961" s="186"/>
    </row>
    <row r="1962" spans="2:21" x14ac:dyDescent="0.2">
      <c r="B1962" s="182"/>
      <c r="C1962" s="182"/>
      <c r="D1962" s="182"/>
      <c r="E1962" s="182"/>
      <c r="F1962" s="182"/>
      <c r="I1962" s="40"/>
      <c r="J1962" s="186"/>
      <c r="K1962" s="186"/>
      <c r="L1962" s="186"/>
      <c r="M1962" s="186"/>
      <c r="N1962" s="186"/>
      <c r="O1962" s="186"/>
      <c r="P1962" s="186"/>
      <c r="Q1962" s="182"/>
      <c r="R1962" s="182"/>
      <c r="S1962" s="182"/>
      <c r="T1962" s="186"/>
      <c r="U1962" s="186"/>
    </row>
    <row r="1963" spans="2:21" x14ac:dyDescent="0.2">
      <c r="B1963" s="182"/>
      <c r="C1963" s="182"/>
      <c r="D1963" s="182"/>
      <c r="E1963" s="182"/>
      <c r="F1963" s="182"/>
      <c r="I1963" s="40"/>
      <c r="J1963" s="186"/>
      <c r="K1963" s="186"/>
      <c r="L1963" s="186"/>
      <c r="M1963" s="186"/>
      <c r="N1963" s="186"/>
      <c r="O1963" s="186"/>
      <c r="P1963" s="186"/>
      <c r="Q1963" s="182"/>
      <c r="R1963" s="182"/>
      <c r="S1963" s="182"/>
      <c r="T1963" s="186"/>
      <c r="U1963" s="186"/>
    </row>
    <row r="1964" spans="2:21" x14ac:dyDescent="0.2">
      <c r="B1964" s="182"/>
      <c r="C1964" s="182"/>
      <c r="D1964" s="182"/>
      <c r="E1964" s="182"/>
      <c r="F1964" s="182"/>
      <c r="I1964" s="40"/>
      <c r="J1964" s="186"/>
      <c r="K1964" s="186"/>
      <c r="L1964" s="186"/>
      <c r="M1964" s="186"/>
      <c r="N1964" s="186"/>
      <c r="O1964" s="186"/>
      <c r="P1964" s="186"/>
      <c r="Q1964" s="182"/>
      <c r="R1964" s="182"/>
      <c r="S1964" s="182"/>
      <c r="T1964" s="186"/>
      <c r="U1964" s="186"/>
    </row>
    <row r="1965" spans="2:21" x14ac:dyDescent="0.2">
      <c r="B1965" s="182"/>
      <c r="C1965" s="182"/>
      <c r="D1965" s="182"/>
      <c r="E1965" s="182"/>
      <c r="F1965" s="182"/>
      <c r="I1965" s="40"/>
      <c r="J1965" s="186"/>
      <c r="K1965" s="186"/>
      <c r="L1965" s="186"/>
      <c r="M1965" s="186"/>
      <c r="N1965" s="186"/>
      <c r="O1965" s="186"/>
      <c r="P1965" s="186"/>
      <c r="Q1965" s="182"/>
      <c r="R1965" s="182"/>
      <c r="S1965" s="182"/>
      <c r="T1965" s="186"/>
      <c r="U1965" s="186"/>
    </row>
    <row r="1966" spans="2:21" x14ac:dyDescent="0.2">
      <c r="B1966" s="182"/>
      <c r="C1966" s="182"/>
      <c r="D1966" s="182"/>
      <c r="E1966" s="182"/>
      <c r="F1966" s="182"/>
      <c r="I1966" s="40"/>
      <c r="J1966" s="186"/>
      <c r="K1966" s="186"/>
      <c r="L1966" s="186"/>
      <c r="M1966" s="186"/>
      <c r="N1966" s="186"/>
      <c r="O1966" s="186"/>
      <c r="P1966" s="186"/>
      <c r="Q1966" s="182"/>
      <c r="R1966" s="182"/>
      <c r="S1966" s="182"/>
      <c r="T1966" s="186"/>
      <c r="U1966" s="186"/>
    </row>
    <row r="1967" spans="2:21" x14ac:dyDescent="0.2">
      <c r="B1967" s="182"/>
      <c r="C1967" s="182"/>
      <c r="D1967" s="182"/>
      <c r="E1967" s="182"/>
      <c r="F1967" s="182"/>
      <c r="I1967" s="40"/>
      <c r="J1967" s="186"/>
      <c r="K1967" s="186"/>
      <c r="L1967" s="186"/>
      <c r="M1967" s="186"/>
      <c r="N1967" s="186"/>
      <c r="O1967" s="186"/>
      <c r="P1967" s="186"/>
      <c r="Q1967" s="182"/>
      <c r="R1967" s="182"/>
      <c r="S1967" s="182"/>
      <c r="T1967" s="186"/>
      <c r="U1967" s="186"/>
    </row>
    <row r="1968" spans="2:21" x14ac:dyDescent="0.2">
      <c r="B1968" s="182"/>
      <c r="C1968" s="182"/>
      <c r="D1968" s="182"/>
      <c r="E1968" s="182"/>
      <c r="F1968" s="182"/>
      <c r="I1968" s="40"/>
      <c r="J1968" s="186"/>
      <c r="K1968" s="186"/>
      <c r="L1968" s="186"/>
      <c r="M1968" s="186"/>
      <c r="N1968" s="186"/>
      <c r="O1968" s="186"/>
      <c r="P1968" s="186"/>
      <c r="Q1968" s="182"/>
      <c r="R1968" s="182"/>
      <c r="S1968" s="182"/>
      <c r="T1968" s="186"/>
      <c r="U1968" s="186"/>
    </row>
    <row r="1969" spans="2:21" x14ac:dyDescent="0.2">
      <c r="B1969" s="182"/>
      <c r="C1969" s="182"/>
      <c r="D1969" s="182"/>
      <c r="E1969" s="182"/>
      <c r="F1969" s="182"/>
      <c r="I1969" s="40"/>
      <c r="J1969" s="186"/>
      <c r="K1969" s="186"/>
      <c r="L1969" s="186"/>
      <c r="M1969" s="186"/>
      <c r="N1969" s="186"/>
      <c r="O1969" s="186"/>
      <c r="P1969" s="186"/>
      <c r="Q1969" s="182"/>
      <c r="R1969" s="182"/>
      <c r="S1969" s="182"/>
      <c r="T1969" s="186"/>
      <c r="U1969" s="186"/>
    </row>
    <row r="1970" spans="2:21" x14ac:dyDescent="0.2">
      <c r="B1970" s="182"/>
      <c r="C1970" s="182"/>
      <c r="D1970" s="182"/>
      <c r="E1970" s="182"/>
      <c r="F1970" s="182"/>
      <c r="I1970" s="40"/>
      <c r="J1970" s="186"/>
      <c r="K1970" s="186"/>
      <c r="L1970" s="186"/>
      <c r="M1970" s="186"/>
      <c r="N1970" s="186"/>
      <c r="O1970" s="186"/>
      <c r="P1970" s="186"/>
      <c r="Q1970" s="182"/>
      <c r="R1970" s="182"/>
      <c r="S1970" s="182"/>
      <c r="T1970" s="186"/>
      <c r="U1970" s="186"/>
    </row>
    <row r="1971" spans="2:21" x14ac:dyDescent="0.2">
      <c r="B1971" s="182"/>
      <c r="C1971" s="182"/>
      <c r="D1971" s="182"/>
      <c r="E1971" s="182"/>
      <c r="F1971" s="182"/>
      <c r="I1971" s="40"/>
      <c r="J1971" s="186"/>
      <c r="K1971" s="186"/>
      <c r="L1971" s="186"/>
      <c r="M1971" s="186"/>
      <c r="N1971" s="186"/>
      <c r="O1971" s="186"/>
      <c r="P1971" s="186"/>
      <c r="Q1971" s="182"/>
      <c r="R1971" s="182"/>
      <c r="S1971" s="182"/>
      <c r="T1971" s="186"/>
      <c r="U1971" s="186"/>
    </row>
    <row r="1972" spans="2:21" x14ac:dyDescent="0.2">
      <c r="B1972" s="182"/>
      <c r="C1972" s="182"/>
      <c r="D1972" s="182"/>
      <c r="E1972" s="182"/>
      <c r="F1972" s="182"/>
      <c r="I1972" s="40"/>
      <c r="J1972" s="186"/>
      <c r="K1972" s="186"/>
      <c r="L1972" s="186"/>
      <c r="M1972" s="186"/>
      <c r="N1972" s="186"/>
      <c r="O1972" s="186"/>
      <c r="P1972" s="186"/>
      <c r="Q1972" s="182"/>
      <c r="R1972" s="182"/>
      <c r="S1972" s="182"/>
      <c r="T1972" s="186"/>
      <c r="U1972" s="186"/>
    </row>
    <row r="1973" spans="2:21" x14ac:dyDescent="0.2">
      <c r="B1973" s="182"/>
      <c r="C1973" s="182"/>
      <c r="D1973" s="182"/>
      <c r="E1973" s="182"/>
      <c r="F1973" s="182"/>
      <c r="I1973" s="40"/>
      <c r="J1973" s="186"/>
      <c r="K1973" s="186"/>
      <c r="L1973" s="186"/>
      <c r="M1973" s="186"/>
      <c r="N1973" s="186"/>
      <c r="O1973" s="186"/>
      <c r="P1973" s="186"/>
      <c r="Q1973" s="182"/>
      <c r="R1973" s="182"/>
      <c r="S1973" s="182"/>
      <c r="T1973" s="186"/>
      <c r="U1973" s="186"/>
    </row>
    <row r="1974" spans="2:21" x14ac:dyDescent="0.2">
      <c r="B1974" s="182"/>
      <c r="C1974" s="182"/>
      <c r="D1974" s="182"/>
      <c r="E1974" s="182"/>
      <c r="F1974" s="182"/>
      <c r="I1974" s="40"/>
      <c r="J1974" s="186"/>
      <c r="K1974" s="186"/>
      <c r="L1974" s="186"/>
      <c r="M1974" s="186"/>
      <c r="N1974" s="186"/>
      <c r="O1974" s="186"/>
      <c r="P1974" s="186"/>
      <c r="Q1974" s="182"/>
      <c r="R1974" s="182"/>
      <c r="S1974" s="182"/>
      <c r="T1974" s="186"/>
      <c r="U1974" s="186"/>
    </row>
    <row r="1975" spans="2:21" x14ac:dyDescent="0.2">
      <c r="B1975" s="182"/>
      <c r="C1975" s="182"/>
      <c r="D1975" s="182"/>
      <c r="E1975" s="182"/>
      <c r="F1975" s="182"/>
      <c r="I1975" s="40"/>
      <c r="J1975" s="186"/>
      <c r="K1975" s="186"/>
      <c r="L1975" s="186"/>
      <c r="M1975" s="186"/>
      <c r="N1975" s="186"/>
      <c r="O1975" s="186"/>
      <c r="P1975" s="186"/>
      <c r="Q1975" s="182"/>
      <c r="R1975" s="182"/>
      <c r="S1975" s="182"/>
      <c r="T1975" s="186"/>
      <c r="U1975" s="186"/>
    </row>
    <row r="1976" spans="2:21" x14ac:dyDescent="0.2">
      <c r="B1976" s="182"/>
      <c r="C1976" s="182"/>
      <c r="D1976" s="182"/>
      <c r="E1976" s="182"/>
      <c r="F1976" s="182"/>
      <c r="I1976" s="40"/>
      <c r="J1976" s="186"/>
      <c r="K1976" s="186"/>
      <c r="L1976" s="186"/>
      <c r="M1976" s="186"/>
      <c r="N1976" s="186"/>
      <c r="O1976" s="186"/>
      <c r="P1976" s="186"/>
      <c r="Q1976" s="182"/>
      <c r="R1976" s="182"/>
      <c r="S1976" s="182"/>
      <c r="T1976" s="186"/>
      <c r="U1976" s="186"/>
    </row>
    <row r="1977" spans="2:21" x14ac:dyDescent="0.2">
      <c r="B1977" s="182"/>
      <c r="C1977" s="182"/>
      <c r="D1977" s="182"/>
      <c r="E1977" s="182"/>
      <c r="F1977" s="182"/>
      <c r="I1977" s="40"/>
      <c r="J1977" s="186"/>
      <c r="K1977" s="186"/>
      <c r="L1977" s="186"/>
      <c r="M1977" s="186"/>
      <c r="N1977" s="186"/>
      <c r="O1977" s="186"/>
      <c r="P1977" s="186"/>
      <c r="Q1977" s="182"/>
      <c r="R1977" s="182"/>
      <c r="S1977" s="182"/>
      <c r="T1977" s="186"/>
      <c r="U1977" s="186"/>
    </row>
    <row r="1978" spans="2:21" x14ac:dyDescent="0.2">
      <c r="B1978" s="182"/>
      <c r="C1978" s="182"/>
      <c r="D1978" s="182"/>
      <c r="E1978" s="182"/>
      <c r="F1978" s="182"/>
      <c r="I1978" s="40"/>
      <c r="J1978" s="186"/>
      <c r="K1978" s="186"/>
      <c r="L1978" s="186"/>
      <c r="M1978" s="186"/>
      <c r="N1978" s="186"/>
      <c r="O1978" s="186"/>
      <c r="P1978" s="186"/>
      <c r="Q1978" s="182"/>
      <c r="R1978" s="182"/>
      <c r="S1978" s="182"/>
      <c r="T1978" s="186"/>
      <c r="U1978" s="186"/>
    </row>
    <row r="1979" spans="2:21" x14ac:dyDescent="0.2">
      <c r="B1979" s="182"/>
      <c r="C1979" s="182"/>
      <c r="D1979" s="182"/>
      <c r="E1979" s="182"/>
      <c r="F1979" s="182"/>
      <c r="I1979" s="40"/>
      <c r="J1979" s="186"/>
      <c r="K1979" s="186"/>
      <c r="L1979" s="186"/>
      <c r="M1979" s="186"/>
      <c r="N1979" s="186"/>
      <c r="O1979" s="186"/>
      <c r="P1979" s="186"/>
      <c r="Q1979" s="182"/>
      <c r="R1979" s="182"/>
      <c r="S1979" s="182"/>
      <c r="T1979" s="186"/>
      <c r="U1979" s="186"/>
    </row>
    <row r="1980" spans="2:21" x14ac:dyDescent="0.2">
      <c r="B1980" s="182"/>
      <c r="C1980" s="182"/>
      <c r="D1980" s="182"/>
      <c r="E1980" s="182"/>
      <c r="F1980" s="182"/>
      <c r="I1980" s="40"/>
      <c r="J1980" s="186"/>
      <c r="K1980" s="186"/>
      <c r="L1980" s="186"/>
      <c r="M1980" s="186"/>
      <c r="N1980" s="186"/>
      <c r="O1980" s="186"/>
      <c r="P1980" s="186"/>
      <c r="Q1980" s="182"/>
      <c r="R1980" s="182"/>
      <c r="S1980" s="182"/>
      <c r="T1980" s="186"/>
      <c r="U1980" s="186"/>
    </row>
    <row r="1981" spans="2:21" x14ac:dyDescent="0.2">
      <c r="B1981" s="182"/>
      <c r="C1981" s="182"/>
      <c r="D1981" s="182"/>
      <c r="E1981" s="182"/>
      <c r="F1981" s="182"/>
      <c r="I1981" s="40"/>
      <c r="J1981" s="186"/>
      <c r="K1981" s="186"/>
      <c r="L1981" s="186"/>
      <c r="M1981" s="186"/>
      <c r="N1981" s="186"/>
      <c r="O1981" s="186"/>
      <c r="P1981" s="186"/>
      <c r="Q1981" s="182"/>
      <c r="R1981" s="182"/>
      <c r="S1981" s="182"/>
      <c r="T1981" s="186"/>
      <c r="U1981" s="186"/>
    </row>
    <row r="1982" spans="2:21" x14ac:dyDescent="0.2">
      <c r="B1982" s="182"/>
      <c r="C1982" s="182"/>
      <c r="D1982" s="182"/>
      <c r="E1982" s="182"/>
      <c r="F1982" s="182"/>
      <c r="I1982" s="40"/>
      <c r="J1982" s="186"/>
      <c r="K1982" s="186"/>
      <c r="L1982" s="186"/>
      <c r="M1982" s="186"/>
      <c r="N1982" s="186"/>
      <c r="O1982" s="186"/>
      <c r="P1982" s="186"/>
      <c r="Q1982" s="182"/>
      <c r="R1982" s="182"/>
      <c r="S1982" s="182"/>
      <c r="T1982" s="186"/>
      <c r="U1982" s="186"/>
    </row>
    <row r="1983" spans="2:21" x14ac:dyDescent="0.2">
      <c r="B1983" s="182"/>
      <c r="C1983" s="182"/>
      <c r="D1983" s="182"/>
      <c r="E1983" s="182"/>
      <c r="F1983" s="182"/>
      <c r="I1983" s="40"/>
      <c r="J1983" s="186"/>
      <c r="K1983" s="186"/>
      <c r="L1983" s="186"/>
      <c r="M1983" s="186"/>
      <c r="N1983" s="186"/>
      <c r="O1983" s="186"/>
      <c r="P1983" s="186"/>
      <c r="Q1983" s="182"/>
      <c r="R1983" s="182"/>
      <c r="S1983" s="182"/>
      <c r="T1983" s="186"/>
      <c r="U1983" s="186"/>
    </row>
    <row r="1984" spans="2:21" x14ac:dyDescent="0.2">
      <c r="B1984" s="182"/>
      <c r="C1984" s="182"/>
      <c r="D1984" s="182"/>
      <c r="E1984" s="182"/>
      <c r="F1984" s="182"/>
      <c r="I1984" s="40"/>
      <c r="J1984" s="186"/>
      <c r="K1984" s="186"/>
      <c r="L1984" s="186"/>
      <c r="M1984" s="186"/>
      <c r="N1984" s="186"/>
      <c r="O1984" s="186"/>
      <c r="P1984" s="186"/>
      <c r="Q1984" s="182"/>
      <c r="R1984" s="182"/>
      <c r="S1984" s="182"/>
      <c r="T1984" s="186"/>
      <c r="U1984" s="186"/>
    </row>
    <row r="1985" spans="2:21" x14ac:dyDescent="0.2">
      <c r="B1985" s="182"/>
      <c r="C1985" s="182"/>
      <c r="D1985" s="182"/>
      <c r="E1985" s="182"/>
      <c r="F1985" s="182"/>
      <c r="I1985" s="40"/>
      <c r="J1985" s="186"/>
      <c r="K1985" s="186"/>
      <c r="L1985" s="186"/>
      <c r="M1985" s="186"/>
      <c r="N1985" s="186"/>
      <c r="O1985" s="186"/>
      <c r="P1985" s="186"/>
      <c r="Q1985" s="182"/>
      <c r="R1985" s="182"/>
      <c r="S1985" s="182"/>
      <c r="T1985" s="186"/>
      <c r="U1985" s="186"/>
    </row>
    <row r="1986" spans="2:21" x14ac:dyDescent="0.2">
      <c r="B1986" s="182"/>
      <c r="C1986" s="182"/>
      <c r="D1986" s="182"/>
      <c r="E1986" s="182"/>
      <c r="F1986" s="182"/>
      <c r="I1986" s="40"/>
      <c r="J1986" s="186"/>
      <c r="K1986" s="186"/>
      <c r="L1986" s="186"/>
      <c r="M1986" s="186"/>
      <c r="N1986" s="186"/>
      <c r="O1986" s="186"/>
      <c r="P1986" s="186"/>
      <c r="Q1986" s="182"/>
      <c r="R1986" s="182"/>
      <c r="S1986" s="182"/>
      <c r="T1986" s="186"/>
      <c r="U1986" s="186"/>
    </row>
    <row r="1987" spans="2:21" x14ac:dyDescent="0.2">
      <c r="B1987" s="182"/>
      <c r="C1987" s="182"/>
      <c r="D1987" s="182"/>
      <c r="E1987" s="182"/>
      <c r="F1987" s="182"/>
      <c r="I1987" s="40"/>
      <c r="J1987" s="186"/>
      <c r="K1987" s="186"/>
      <c r="L1987" s="186"/>
      <c r="M1987" s="186"/>
      <c r="N1987" s="186"/>
      <c r="O1987" s="186"/>
      <c r="P1987" s="186"/>
      <c r="Q1987" s="182"/>
      <c r="R1987" s="182"/>
      <c r="S1987" s="182"/>
      <c r="T1987" s="186"/>
      <c r="U1987" s="186"/>
    </row>
    <row r="1988" spans="2:21" x14ac:dyDescent="0.2">
      <c r="B1988" s="182"/>
      <c r="C1988" s="182"/>
      <c r="D1988" s="182"/>
      <c r="E1988" s="182"/>
      <c r="F1988" s="182"/>
      <c r="I1988" s="40"/>
      <c r="J1988" s="186"/>
      <c r="K1988" s="186"/>
      <c r="L1988" s="186"/>
      <c r="M1988" s="186"/>
      <c r="N1988" s="186"/>
      <c r="O1988" s="186"/>
      <c r="P1988" s="186"/>
      <c r="Q1988" s="182"/>
      <c r="R1988" s="182"/>
      <c r="S1988" s="182"/>
      <c r="T1988" s="186"/>
      <c r="U1988" s="186"/>
    </row>
    <row r="1989" spans="2:21" x14ac:dyDescent="0.2">
      <c r="B1989" s="182"/>
      <c r="C1989" s="182"/>
      <c r="D1989" s="182"/>
      <c r="E1989" s="182"/>
      <c r="F1989" s="182"/>
      <c r="I1989" s="40"/>
      <c r="J1989" s="186"/>
      <c r="K1989" s="186"/>
      <c r="L1989" s="186"/>
      <c r="M1989" s="186"/>
      <c r="N1989" s="186"/>
      <c r="O1989" s="186"/>
      <c r="P1989" s="186"/>
      <c r="Q1989" s="182"/>
      <c r="R1989" s="182"/>
      <c r="S1989" s="182"/>
      <c r="T1989" s="186"/>
      <c r="U1989" s="186"/>
    </row>
    <row r="1990" spans="2:21" x14ac:dyDescent="0.2">
      <c r="B1990" s="182"/>
      <c r="C1990" s="182"/>
      <c r="D1990" s="182"/>
      <c r="E1990" s="182"/>
      <c r="F1990" s="182"/>
      <c r="I1990" s="40"/>
      <c r="J1990" s="186"/>
      <c r="K1990" s="186"/>
      <c r="L1990" s="186"/>
      <c r="M1990" s="186"/>
      <c r="N1990" s="186"/>
      <c r="O1990" s="186"/>
      <c r="P1990" s="186"/>
      <c r="Q1990" s="182"/>
      <c r="R1990" s="182"/>
      <c r="S1990" s="182"/>
      <c r="T1990" s="186"/>
      <c r="U1990" s="186"/>
    </row>
    <row r="1991" spans="2:21" x14ac:dyDescent="0.2">
      <c r="B1991" s="182"/>
      <c r="C1991" s="182"/>
      <c r="D1991" s="182"/>
      <c r="E1991" s="182"/>
      <c r="F1991" s="182"/>
      <c r="I1991" s="40"/>
      <c r="J1991" s="186"/>
      <c r="K1991" s="186"/>
      <c r="L1991" s="186"/>
      <c r="M1991" s="186"/>
      <c r="N1991" s="186"/>
      <c r="O1991" s="186"/>
      <c r="P1991" s="186"/>
      <c r="Q1991" s="182"/>
      <c r="R1991" s="182"/>
      <c r="S1991" s="182"/>
      <c r="T1991" s="186"/>
      <c r="U1991" s="186"/>
    </row>
    <row r="1992" spans="2:21" x14ac:dyDescent="0.2">
      <c r="B1992" s="182"/>
      <c r="C1992" s="182"/>
      <c r="D1992" s="182"/>
      <c r="E1992" s="182"/>
      <c r="F1992" s="182"/>
      <c r="I1992" s="40"/>
      <c r="J1992" s="186"/>
      <c r="K1992" s="186"/>
      <c r="L1992" s="186"/>
      <c r="M1992" s="186"/>
      <c r="N1992" s="186"/>
      <c r="O1992" s="186"/>
      <c r="P1992" s="186"/>
      <c r="Q1992" s="182"/>
      <c r="R1992" s="182"/>
      <c r="S1992" s="182"/>
      <c r="T1992" s="186"/>
      <c r="U1992" s="186"/>
    </row>
    <row r="1993" spans="2:21" x14ac:dyDescent="0.2">
      <c r="B1993" s="182"/>
      <c r="C1993" s="182"/>
      <c r="D1993" s="182"/>
      <c r="E1993" s="182"/>
      <c r="F1993" s="182"/>
      <c r="I1993" s="40"/>
      <c r="J1993" s="186"/>
      <c r="K1993" s="186"/>
      <c r="L1993" s="186"/>
      <c r="M1993" s="186"/>
      <c r="N1993" s="186"/>
      <c r="O1993" s="186"/>
      <c r="P1993" s="186"/>
      <c r="Q1993" s="182"/>
      <c r="R1993" s="182"/>
      <c r="S1993" s="182"/>
      <c r="T1993" s="186"/>
      <c r="U1993" s="186"/>
    </row>
    <row r="1994" spans="2:21" x14ac:dyDescent="0.2">
      <c r="B1994" s="182"/>
      <c r="C1994" s="182"/>
      <c r="D1994" s="182"/>
      <c r="E1994" s="182"/>
      <c r="F1994" s="182"/>
      <c r="I1994" s="40"/>
      <c r="J1994" s="186"/>
      <c r="K1994" s="186"/>
      <c r="L1994" s="186"/>
      <c r="M1994" s="186"/>
      <c r="N1994" s="186"/>
      <c r="O1994" s="186"/>
      <c r="P1994" s="186"/>
      <c r="Q1994" s="182"/>
      <c r="R1994" s="182"/>
      <c r="S1994" s="182"/>
      <c r="T1994" s="186"/>
      <c r="U1994" s="186"/>
    </row>
    <row r="1995" spans="2:21" x14ac:dyDescent="0.2">
      <c r="B1995" s="182"/>
      <c r="C1995" s="182"/>
      <c r="D1995" s="182"/>
      <c r="E1995" s="182"/>
      <c r="F1995" s="182"/>
      <c r="I1995" s="40"/>
      <c r="J1995" s="186"/>
      <c r="K1995" s="186"/>
      <c r="L1995" s="186"/>
      <c r="M1995" s="186"/>
      <c r="N1995" s="186"/>
      <c r="O1995" s="186"/>
      <c r="P1995" s="186"/>
      <c r="Q1995" s="182"/>
      <c r="R1995" s="182"/>
      <c r="S1995" s="182"/>
      <c r="T1995" s="186"/>
      <c r="U1995" s="186"/>
    </row>
    <row r="1996" spans="2:21" x14ac:dyDescent="0.2">
      <c r="B1996" s="182"/>
      <c r="C1996" s="182"/>
      <c r="D1996" s="182"/>
      <c r="E1996" s="182"/>
      <c r="F1996" s="182"/>
      <c r="I1996" s="40"/>
      <c r="J1996" s="186"/>
      <c r="K1996" s="186"/>
      <c r="L1996" s="186"/>
      <c r="M1996" s="186"/>
      <c r="N1996" s="186"/>
      <c r="O1996" s="186"/>
      <c r="P1996" s="186"/>
      <c r="Q1996" s="182"/>
      <c r="R1996" s="182"/>
      <c r="S1996" s="182"/>
      <c r="T1996" s="186"/>
      <c r="U1996" s="186"/>
    </row>
    <row r="1997" spans="2:21" x14ac:dyDescent="0.2">
      <c r="B1997" s="182"/>
      <c r="C1997" s="182"/>
      <c r="D1997" s="182"/>
      <c r="E1997" s="182"/>
      <c r="F1997" s="182"/>
      <c r="I1997" s="40"/>
      <c r="J1997" s="186"/>
      <c r="K1997" s="186"/>
      <c r="L1997" s="186"/>
      <c r="M1997" s="186"/>
      <c r="N1997" s="186"/>
      <c r="O1997" s="186"/>
      <c r="P1997" s="186"/>
      <c r="Q1997" s="182"/>
      <c r="R1997" s="182"/>
      <c r="S1997" s="182"/>
      <c r="T1997" s="186"/>
      <c r="U1997" s="186"/>
    </row>
    <row r="1998" spans="2:21" x14ac:dyDescent="0.2">
      <c r="B1998" s="182"/>
      <c r="C1998" s="182"/>
      <c r="D1998" s="182"/>
      <c r="E1998" s="182"/>
      <c r="F1998" s="182"/>
      <c r="I1998" s="40"/>
      <c r="J1998" s="186"/>
      <c r="K1998" s="186"/>
      <c r="L1998" s="186"/>
      <c r="M1998" s="186"/>
      <c r="N1998" s="186"/>
      <c r="O1998" s="186"/>
      <c r="P1998" s="186"/>
      <c r="Q1998" s="182"/>
      <c r="R1998" s="182"/>
      <c r="S1998" s="182"/>
      <c r="T1998" s="186"/>
      <c r="U1998" s="186"/>
    </row>
    <row r="1999" spans="2:21" x14ac:dyDescent="0.2">
      <c r="B1999" s="182"/>
      <c r="C1999" s="182"/>
      <c r="D1999" s="182"/>
      <c r="E1999" s="182"/>
      <c r="F1999" s="182"/>
      <c r="I1999" s="40"/>
      <c r="J1999" s="186"/>
      <c r="K1999" s="186"/>
      <c r="L1999" s="186"/>
      <c r="M1999" s="186"/>
      <c r="N1999" s="186"/>
      <c r="O1999" s="186"/>
      <c r="P1999" s="186"/>
      <c r="Q1999" s="182"/>
      <c r="R1999" s="182"/>
      <c r="S1999" s="182"/>
      <c r="T1999" s="186"/>
      <c r="U1999" s="186"/>
    </row>
    <row r="2000" spans="2:21" x14ac:dyDescent="0.2">
      <c r="B2000" s="182"/>
      <c r="C2000" s="182"/>
      <c r="D2000" s="182"/>
      <c r="E2000" s="182"/>
      <c r="F2000" s="182"/>
      <c r="I2000" s="40"/>
      <c r="J2000" s="186"/>
      <c r="K2000" s="186"/>
      <c r="L2000" s="186"/>
      <c r="M2000" s="186"/>
      <c r="N2000" s="186"/>
      <c r="O2000" s="186"/>
      <c r="P2000" s="186"/>
      <c r="Q2000" s="182"/>
      <c r="R2000" s="182"/>
      <c r="S2000" s="182"/>
      <c r="T2000" s="186"/>
      <c r="U2000" s="186"/>
    </row>
    <row r="2001" spans="2:21" x14ac:dyDescent="0.2">
      <c r="B2001" s="182"/>
      <c r="C2001" s="182"/>
      <c r="D2001" s="182"/>
      <c r="E2001" s="182"/>
      <c r="F2001" s="182"/>
      <c r="I2001" s="40"/>
      <c r="J2001" s="186"/>
      <c r="K2001" s="186"/>
      <c r="L2001" s="186"/>
      <c r="M2001" s="186"/>
      <c r="N2001" s="186"/>
      <c r="O2001" s="186"/>
      <c r="P2001" s="186"/>
      <c r="Q2001" s="182"/>
      <c r="R2001" s="182"/>
      <c r="S2001" s="182"/>
      <c r="T2001" s="186"/>
      <c r="U2001" s="186"/>
    </row>
    <row r="2002" spans="2:21" x14ac:dyDescent="0.2">
      <c r="B2002" s="182"/>
      <c r="C2002" s="182"/>
      <c r="D2002" s="182"/>
      <c r="E2002" s="182"/>
      <c r="F2002" s="182"/>
      <c r="I2002" s="40"/>
      <c r="J2002" s="186"/>
      <c r="K2002" s="186"/>
      <c r="L2002" s="186"/>
      <c r="M2002" s="186"/>
      <c r="N2002" s="186"/>
      <c r="O2002" s="186"/>
      <c r="P2002" s="186"/>
      <c r="Q2002" s="182"/>
      <c r="R2002" s="182"/>
      <c r="S2002" s="182"/>
      <c r="T2002" s="186"/>
      <c r="U2002" s="186"/>
    </row>
    <row r="2003" spans="2:21" x14ac:dyDescent="0.2">
      <c r="B2003" s="182"/>
      <c r="C2003" s="182"/>
      <c r="D2003" s="182"/>
      <c r="E2003" s="182"/>
      <c r="F2003" s="182"/>
      <c r="I2003" s="40"/>
      <c r="J2003" s="186"/>
      <c r="K2003" s="186"/>
      <c r="L2003" s="186"/>
      <c r="M2003" s="186"/>
      <c r="N2003" s="186"/>
      <c r="O2003" s="186"/>
      <c r="P2003" s="186"/>
      <c r="Q2003" s="182"/>
      <c r="R2003" s="182"/>
      <c r="S2003" s="182"/>
      <c r="T2003" s="186"/>
      <c r="U2003" s="186"/>
    </row>
    <row r="2004" spans="2:21" x14ac:dyDescent="0.2">
      <c r="B2004" s="182"/>
      <c r="C2004" s="182"/>
      <c r="D2004" s="182"/>
      <c r="E2004" s="182"/>
      <c r="F2004" s="182"/>
      <c r="I2004" s="40"/>
      <c r="J2004" s="186"/>
      <c r="K2004" s="186"/>
      <c r="L2004" s="186"/>
      <c r="M2004" s="186"/>
      <c r="N2004" s="186"/>
      <c r="O2004" s="186"/>
      <c r="P2004" s="186"/>
      <c r="Q2004" s="182"/>
      <c r="R2004" s="182"/>
      <c r="S2004" s="182"/>
      <c r="T2004" s="186"/>
      <c r="U2004" s="186"/>
    </row>
    <row r="2005" spans="2:21" x14ac:dyDescent="0.2">
      <c r="B2005" s="182"/>
      <c r="C2005" s="182"/>
      <c r="D2005" s="182"/>
      <c r="E2005" s="182"/>
      <c r="F2005" s="182"/>
      <c r="I2005" s="40"/>
      <c r="J2005" s="186"/>
      <c r="K2005" s="186"/>
      <c r="L2005" s="186"/>
      <c r="M2005" s="186"/>
      <c r="N2005" s="186"/>
      <c r="O2005" s="186"/>
      <c r="P2005" s="186"/>
      <c r="Q2005" s="182"/>
      <c r="R2005" s="182"/>
      <c r="S2005" s="182"/>
      <c r="T2005" s="186"/>
      <c r="U2005" s="186"/>
    </row>
    <row r="2006" spans="2:21" x14ac:dyDescent="0.2">
      <c r="B2006" s="182"/>
      <c r="C2006" s="182"/>
      <c r="D2006" s="182"/>
      <c r="E2006" s="182"/>
      <c r="F2006" s="182"/>
      <c r="I2006" s="40"/>
      <c r="J2006" s="186"/>
      <c r="K2006" s="186"/>
      <c r="L2006" s="186"/>
      <c r="M2006" s="186"/>
      <c r="N2006" s="186"/>
      <c r="O2006" s="186"/>
      <c r="P2006" s="186"/>
      <c r="Q2006" s="182"/>
      <c r="R2006" s="182"/>
      <c r="S2006" s="182"/>
      <c r="T2006" s="186"/>
      <c r="U2006" s="186"/>
    </row>
    <row r="2007" spans="2:21" x14ac:dyDescent="0.2">
      <c r="B2007" s="182"/>
      <c r="C2007" s="182"/>
      <c r="D2007" s="182"/>
      <c r="E2007" s="182"/>
      <c r="F2007" s="182"/>
      <c r="I2007" s="40"/>
      <c r="J2007" s="186"/>
      <c r="K2007" s="186"/>
      <c r="L2007" s="186"/>
      <c r="M2007" s="186"/>
      <c r="N2007" s="186"/>
      <c r="O2007" s="186"/>
      <c r="P2007" s="186"/>
      <c r="Q2007" s="182"/>
      <c r="R2007" s="182"/>
      <c r="S2007" s="182"/>
      <c r="T2007" s="186"/>
      <c r="U2007" s="186"/>
    </row>
    <row r="2008" spans="2:21" x14ac:dyDescent="0.2">
      <c r="B2008" s="182"/>
      <c r="C2008" s="182"/>
      <c r="D2008" s="182"/>
      <c r="E2008" s="182"/>
      <c r="F2008" s="182"/>
      <c r="I2008" s="40"/>
      <c r="J2008" s="186"/>
      <c r="K2008" s="186"/>
      <c r="L2008" s="186"/>
      <c r="M2008" s="186"/>
      <c r="N2008" s="186"/>
      <c r="O2008" s="186"/>
      <c r="P2008" s="186"/>
      <c r="Q2008" s="182"/>
      <c r="R2008" s="182"/>
      <c r="S2008" s="182"/>
      <c r="T2008" s="186"/>
      <c r="U2008" s="186"/>
    </row>
    <row r="2009" spans="2:21" x14ac:dyDescent="0.2">
      <c r="B2009" s="182"/>
      <c r="C2009" s="182"/>
      <c r="D2009" s="182"/>
      <c r="E2009" s="182"/>
      <c r="F2009" s="182"/>
      <c r="I2009" s="40"/>
      <c r="J2009" s="186"/>
      <c r="K2009" s="186"/>
      <c r="L2009" s="186"/>
      <c r="M2009" s="186"/>
      <c r="N2009" s="186"/>
      <c r="O2009" s="186"/>
      <c r="P2009" s="186"/>
      <c r="Q2009" s="182"/>
      <c r="R2009" s="182"/>
      <c r="S2009" s="182"/>
      <c r="T2009" s="186"/>
      <c r="U2009" s="186"/>
    </row>
    <row r="2010" spans="2:21" x14ac:dyDescent="0.2">
      <c r="B2010" s="182"/>
      <c r="C2010" s="182"/>
      <c r="D2010" s="182"/>
      <c r="E2010" s="182"/>
      <c r="F2010" s="182"/>
      <c r="I2010" s="40"/>
      <c r="J2010" s="186"/>
      <c r="K2010" s="186"/>
      <c r="L2010" s="186"/>
      <c r="M2010" s="186"/>
      <c r="N2010" s="186"/>
      <c r="O2010" s="186"/>
      <c r="P2010" s="186"/>
      <c r="Q2010" s="182"/>
      <c r="R2010" s="182"/>
      <c r="S2010" s="182"/>
      <c r="T2010" s="186"/>
      <c r="U2010" s="186"/>
    </row>
    <row r="2011" spans="2:21" x14ac:dyDescent="0.2">
      <c r="B2011" s="182"/>
      <c r="C2011" s="182"/>
      <c r="D2011" s="182"/>
      <c r="E2011" s="182"/>
      <c r="F2011" s="182"/>
      <c r="I2011" s="40"/>
      <c r="J2011" s="186"/>
      <c r="K2011" s="186"/>
      <c r="L2011" s="186"/>
      <c r="M2011" s="186"/>
      <c r="N2011" s="186"/>
      <c r="O2011" s="186"/>
      <c r="P2011" s="186"/>
      <c r="Q2011" s="182"/>
      <c r="R2011" s="182"/>
      <c r="S2011" s="182"/>
      <c r="T2011" s="186"/>
      <c r="U2011" s="186"/>
    </row>
    <row r="2012" spans="2:21" x14ac:dyDescent="0.2">
      <c r="B2012" s="182"/>
      <c r="C2012" s="182"/>
      <c r="D2012" s="182"/>
      <c r="E2012" s="182"/>
      <c r="F2012" s="182"/>
      <c r="I2012" s="40"/>
      <c r="J2012" s="186"/>
      <c r="K2012" s="186"/>
      <c r="L2012" s="186"/>
      <c r="M2012" s="186"/>
      <c r="N2012" s="186"/>
      <c r="O2012" s="186"/>
      <c r="P2012" s="186"/>
      <c r="Q2012" s="182"/>
      <c r="R2012" s="182"/>
      <c r="S2012" s="182"/>
      <c r="T2012" s="186"/>
      <c r="U2012" s="186"/>
    </row>
    <row r="2013" spans="2:21" x14ac:dyDescent="0.2">
      <c r="B2013" s="182"/>
      <c r="C2013" s="182"/>
      <c r="D2013" s="182"/>
      <c r="E2013" s="182"/>
      <c r="F2013" s="182"/>
      <c r="I2013" s="40"/>
      <c r="J2013" s="186"/>
      <c r="K2013" s="186"/>
      <c r="L2013" s="186"/>
      <c r="M2013" s="186"/>
      <c r="N2013" s="186"/>
      <c r="O2013" s="186"/>
      <c r="P2013" s="186"/>
      <c r="Q2013" s="182"/>
      <c r="R2013" s="182"/>
      <c r="S2013" s="182"/>
      <c r="T2013" s="186"/>
      <c r="U2013" s="186"/>
    </row>
    <row r="2014" spans="2:21" x14ac:dyDescent="0.2">
      <c r="B2014" s="182"/>
      <c r="C2014" s="182"/>
      <c r="D2014" s="182"/>
      <c r="E2014" s="182"/>
      <c r="F2014" s="182"/>
      <c r="I2014" s="40"/>
      <c r="J2014" s="186"/>
      <c r="K2014" s="186"/>
      <c r="L2014" s="186"/>
      <c r="M2014" s="186"/>
      <c r="N2014" s="186"/>
      <c r="O2014" s="186"/>
      <c r="P2014" s="186"/>
      <c r="Q2014" s="182"/>
      <c r="R2014" s="182"/>
      <c r="S2014" s="182"/>
      <c r="T2014" s="186"/>
      <c r="U2014" s="186"/>
    </row>
    <row r="2015" spans="2:21" x14ac:dyDescent="0.2">
      <c r="B2015" s="182"/>
      <c r="C2015" s="182"/>
      <c r="D2015" s="182"/>
      <c r="E2015" s="182"/>
      <c r="F2015" s="182"/>
      <c r="I2015" s="40"/>
      <c r="J2015" s="186"/>
      <c r="K2015" s="186"/>
      <c r="L2015" s="186"/>
      <c r="M2015" s="186"/>
      <c r="N2015" s="186"/>
      <c r="O2015" s="186"/>
      <c r="P2015" s="186"/>
      <c r="Q2015" s="182"/>
      <c r="R2015" s="182"/>
      <c r="S2015" s="182"/>
      <c r="T2015" s="186"/>
      <c r="U2015" s="186"/>
    </row>
    <row r="2016" spans="2:21" x14ac:dyDescent="0.2">
      <c r="B2016" s="182"/>
      <c r="C2016" s="182"/>
      <c r="D2016" s="182"/>
      <c r="E2016" s="182"/>
      <c r="F2016" s="182"/>
      <c r="I2016" s="40"/>
      <c r="J2016" s="186"/>
      <c r="K2016" s="186"/>
      <c r="L2016" s="186"/>
      <c r="M2016" s="186"/>
      <c r="N2016" s="186"/>
      <c r="O2016" s="186"/>
      <c r="P2016" s="186"/>
      <c r="Q2016" s="182"/>
      <c r="R2016" s="182"/>
      <c r="S2016" s="182"/>
      <c r="T2016" s="186"/>
      <c r="U2016" s="186"/>
    </row>
    <row r="2017" spans="2:21" x14ac:dyDescent="0.2">
      <c r="B2017" s="182"/>
      <c r="C2017" s="182"/>
      <c r="D2017" s="182"/>
      <c r="E2017" s="182"/>
      <c r="F2017" s="182"/>
      <c r="I2017" s="40"/>
      <c r="J2017" s="186"/>
      <c r="K2017" s="186"/>
      <c r="L2017" s="186"/>
      <c r="M2017" s="186"/>
      <c r="N2017" s="186"/>
      <c r="O2017" s="186"/>
      <c r="P2017" s="186"/>
      <c r="Q2017" s="182"/>
      <c r="R2017" s="182"/>
      <c r="S2017" s="182"/>
      <c r="T2017" s="186"/>
      <c r="U2017" s="186"/>
    </row>
    <row r="2018" spans="2:21" x14ac:dyDescent="0.2">
      <c r="B2018" s="182"/>
      <c r="C2018" s="182"/>
      <c r="D2018" s="182"/>
      <c r="E2018" s="182"/>
      <c r="F2018" s="182"/>
      <c r="I2018" s="40"/>
      <c r="J2018" s="186"/>
      <c r="K2018" s="186"/>
      <c r="L2018" s="186"/>
      <c r="M2018" s="186"/>
      <c r="N2018" s="186"/>
      <c r="O2018" s="186"/>
      <c r="P2018" s="186"/>
      <c r="Q2018" s="182"/>
      <c r="R2018" s="182"/>
      <c r="S2018" s="182"/>
      <c r="T2018" s="186"/>
      <c r="U2018" s="186"/>
    </row>
    <row r="2019" spans="2:21" x14ac:dyDescent="0.2">
      <c r="B2019" s="182"/>
      <c r="C2019" s="182"/>
      <c r="D2019" s="182"/>
      <c r="E2019" s="182"/>
      <c r="F2019" s="182"/>
      <c r="I2019" s="40"/>
      <c r="J2019" s="186"/>
      <c r="K2019" s="186"/>
      <c r="L2019" s="186"/>
      <c r="M2019" s="186"/>
      <c r="N2019" s="186"/>
      <c r="O2019" s="186"/>
      <c r="P2019" s="186"/>
      <c r="Q2019" s="182"/>
      <c r="R2019" s="182"/>
      <c r="S2019" s="182"/>
      <c r="T2019" s="186"/>
      <c r="U2019" s="186"/>
    </row>
    <row r="2020" spans="2:21" x14ac:dyDescent="0.2">
      <c r="B2020" s="182"/>
      <c r="C2020" s="182"/>
      <c r="D2020" s="182"/>
      <c r="E2020" s="182"/>
      <c r="F2020" s="182"/>
      <c r="I2020" s="40"/>
      <c r="J2020" s="186"/>
      <c r="K2020" s="186"/>
      <c r="L2020" s="186"/>
      <c r="M2020" s="186"/>
      <c r="N2020" s="186"/>
      <c r="O2020" s="186"/>
      <c r="P2020" s="186"/>
      <c r="Q2020" s="182"/>
      <c r="R2020" s="182"/>
      <c r="S2020" s="182"/>
      <c r="T2020" s="186"/>
      <c r="U2020" s="186"/>
    </row>
    <row r="2021" spans="2:21" x14ac:dyDescent="0.2">
      <c r="B2021" s="182"/>
      <c r="C2021" s="182"/>
      <c r="D2021" s="182"/>
      <c r="E2021" s="182"/>
      <c r="F2021" s="182"/>
      <c r="I2021" s="40"/>
      <c r="J2021" s="186"/>
      <c r="K2021" s="186"/>
      <c r="L2021" s="186"/>
      <c r="M2021" s="186"/>
      <c r="N2021" s="186"/>
      <c r="O2021" s="186"/>
      <c r="P2021" s="186"/>
      <c r="Q2021" s="182"/>
      <c r="R2021" s="182"/>
      <c r="S2021" s="182"/>
      <c r="T2021" s="186"/>
      <c r="U2021" s="186"/>
    </row>
    <row r="2022" spans="2:21" x14ac:dyDescent="0.2">
      <c r="B2022" s="182"/>
      <c r="C2022" s="182"/>
      <c r="D2022" s="182"/>
      <c r="E2022" s="182"/>
      <c r="F2022" s="182"/>
      <c r="I2022" s="40"/>
      <c r="J2022" s="186"/>
      <c r="K2022" s="186"/>
      <c r="L2022" s="186"/>
      <c r="M2022" s="186"/>
      <c r="N2022" s="186"/>
      <c r="O2022" s="186"/>
      <c r="P2022" s="186"/>
      <c r="Q2022" s="182"/>
      <c r="R2022" s="182"/>
      <c r="S2022" s="182"/>
      <c r="T2022" s="186"/>
      <c r="U2022" s="186"/>
    </row>
    <row r="2023" spans="2:21" x14ac:dyDescent="0.2">
      <c r="B2023" s="182"/>
      <c r="C2023" s="182"/>
      <c r="D2023" s="182"/>
      <c r="E2023" s="182"/>
      <c r="F2023" s="182"/>
      <c r="I2023" s="40"/>
      <c r="J2023" s="186"/>
      <c r="K2023" s="186"/>
      <c r="L2023" s="186"/>
      <c r="M2023" s="186"/>
      <c r="N2023" s="186"/>
      <c r="O2023" s="186"/>
      <c r="P2023" s="186"/>
      <c r="Q2023" s="182"/>
      <c r="R2023" s="182"/>
      <c r="S2023" s="182"/>
      <c r="T2023" s="186"/>
      <c r="U2023" s="186"/>
    </row>
    <row r="2024" spans="2:21" x14ac:dyDescent="0.2">
      <c r="B2024" s="182"/>
      <c r="C2024" s="182"/>
      <c r="D2024" s="182"/>
      <c r="E2024" s="182"/>
      <c r="F2024" s="182"/>
      <c r="I2024" s="40"/>
      <c r="J2024" s="186"/>
      <c r="K2024" s="186"/>
      <c r="L2024" s="186"/>
      <c r="M2024" s="186"/>
      <c r="N2024" s="186"/>
      <c r="O2024" s="186"/>
      <c r="P2024" s="186"/>
      <c r="Q2024" s="182"/>
      <c r="R2024" s="182"/>
      <c r="S2024" s="182"/>
      <c r="T2024" s="186"/>
      <c r="U2024" s="186"/>
    </row>
    <row r="2025" spans="2:21" x14ac:dyDescent="0.2">
      <c r="B2025" s="182"/>
      <c r="C2025" s="182"/>
      <c r="D2025" s="182"/>
      <c r="E2025" s="182"/>
      <c r="F2025" s="182"/>
      <c r="I2025" s="40"/>
      <c r="J2025" s="186"/>
      <c r="K2025" s="186"/>
      <c r="L2025" s="186"/>
      <c r="M2025" s="186"/>
      <c r="N2025" s="186"/>
      <c r="O2025" s="186"/>
      <c r="P2025" s="186"/>
      <c r="Q2025" s="182"/>
      <c r="R2025" s="182"/>
      <c r="S2025" s="182"/>
      <c r="T2025" s="186"/>
      <c r="U2025" s="186"/>
    </row>
    <row r="2026" spans="2:21" x14ac:dyDescent="0.2">
      <c r="B2026" s="182"/>
      <c r="C2026" s="182"/>
      <c r="D2026" s="182"/>
      <c r="E2026" s="182"/>
      <c r="F2026" s="182"/>
      <c r="I2026" s="40"/>
      <c r="J2026" s="186"/>
      <c r="K2026" s="186"/>
      <c r="L2026" s="186"/>
      <c r="M2026" s="186"/>
      <c r="N2026" s="186"/>
      <c r="O2026" s="186"/>
      <c r="P2026" s="186"/>
      <c r="Q2026" s="182"/>
      <c r="R2026" s="182"/>
      <c r="S2026" s="182"/>
      <c r="T2026" s="186"/>
      <c r="U2026" s="186"/>
    </row>
    <row r="2027" spans="2:21" x14ac:dyDescent="0.2">
      <c r="B2027" s="182"/>
      <c r="C2027" s="182"/>
      <c r="D2027" s="182"/>
      <c r="E2027" s="182"/>
      <c r="F2027" s="182"/>
      <c r="I2027" s="40"/>
      <c r="J2027" s="186"/>
      <c r="K2027" s="186"/>
      <c r="L2027" s="186"/>
      <c r="M2027" s="186"/>
      <c r="N2027" s="186"/>
      <c r="O2027" s="186"/>
      <c r="P2027" s="186"/>
      <c r="Q2027" s="182"/>
      <c r="R2027" s="182"/>
      <c r="S2027" s="182"/>
      <c r="T2027" s="186"/>
      <c r="U2027" s="186"/>
    </row>
    <row r="2028" spans="2:21" x14ac:dyDescent="0.2">
      <c r="B2028" s="182"/>
      <c r="C2028" s="182"/>
      <c r="D2028" s="182"/>
      <c r="E2028" s="182"/>
      <c r="F2028" s="182"/>
      <c r="I2028" s="40"/>
      <c r="J2028" s="186"/>
      <c r="K2028" s="186"/>
      <c r="L2028" s="186"/>
      <c r="M2028" s="186"/>
      <c r="N2028" s="186"/>
      <c r="O2028" s="186"/>
      <c r="P2028" s="186"/>
      <c r="Q2028" s="182"/>
      <c r="R2028" s="182"/>
      <c r="S2028" s="182"/>
      <c r="T2028" s="186"/>
      <c r="U2028" s="186"/>
    </row>
    <row r="2029" spans="2:21" x14ac:dyDescent="0.2">
      <c r="B2029" s="182"/>
      <c r="C2029" s="182"/>
      <c r="D2029" s="182"/>
      <c r="E2029" s="182"/>
      <c r="F2029" s="182"/>
      <c r="I2029" s="40"/>
      <c r="J2029" s="186"/>
      <c r="K2029" s="186"/>
      <c r="L2029" s="186"/>
      <c r="M2029" s="186"/>
      <c r="N2029" s="186"/>
      <c r="O2029" s="186"/>
      <c r="P2029" s="186"/>
      <c r="Q2029" s="182"/>
      <c r="R2029" s="182"/>
      <c r="S2029" s="182"/>
      <c r="T2029" s="186"/>
      <c r="U2029" s="186"/>
    </row>
    <row r="2030" spans="2:21" x14ac:dyDescent="0.2">
      <c r="B2030" s="182"/>
      <c r="C2030" s="182"/>
      <c r="D2030" s="182"/>
      <c r="E2030" s="182"/>
      <c r="F2030" s="182"/>
      <c r="I2030" s="40"/>
      <c r="J2030" s="186"/>
      <c r="K2030" s="186"/>
      <c r="L2030" s="186"/>
      <c r="M2030" s="186"/>
      <c r="N2030" s="186"/>
      <c r="O2030" s="186"/>
      <c r="P2030" s="186"/>
      <c r="Q2030" s="182"/>
      <c r="R2030" s="182"/>
      <c r="S2030" s="182"/>
      <c r="T2030" s="186"/>
      <c r="U2030" s="186"/>
    </row>
    <row r="2031" spans="2:21" x14ac:dyDescent="0.2">
      <c r="B2031" s="182"/>
      <c r="C2031" s="182"/>
      <c r="D2031" s="182"/>
      <c r="E2031" s="182"/>
      <c r="F2031" s="182"/>
      <c r="I2031" s="40"/>
      <c r="J2031" s="186"/>
      <c r="K2031" s="186"/>
      <c r="L2031" s="186"/>
      <c r="M2031" s="186"/>
      <c r="N2031" s="186"/>
      <c r="O2031" s="186"/>
      <c r="P2031" s="186"/>
      <c r="Q2031" s="182"/>
      <c r="R2031" s="182"/>
      <c r="S2031" s="182"/>
      <c r="T2031" s="186"/>
      <c r="U2031" s="186"/>
    </row>
    <row r="2032" spans="2:21" x14ac:dyDescent="0.2">
      <c r="B2032" s="182"/>
      <c r="C2032" s="182"/>
      <c r="D2032" s="182"/>
      <c r="E2032" s="182"/>
      <c r="F2032" s="182"/>
      <c r="I2032" s="40"/>
      <c r="J2032" s="186"/>
      <c r="K2032" s="186"/>
      <c r="L2032" s="186"/>
      <c r="M2032" s="186"/>
      <c r="N2032" s="186"/>
      <c r="O2032" s="186"/>
      <c r="P2032" s="186"/>
      <c r="Q2032" s="182"/>
      <c r="R2032" s="182"/>
      <c r="S2032" s="182"/>
      <c r="T2032" s="186"/>
      <c r="U2032" s="186"/>
    </row>
    <row r="2033" spans="2:21" x14ac:dyDescent="0.2">
      <c r="B2033" s="182"/>
      <c r="C2033" s="182"/>
      <c r="D2033" s="182"/>
      <c r="E2033" s="182"/>
      <c r="F2033" s="182"/>
      <c r="I2033" s="40"/>
      <c r="J2033" s="186"/>
      <c r="K2033" s="186"/>
      <c r="L2033" s="186"/>
      <c r="M2033" s="186"/>
      <c r="N2033" s="186"/>
      <c r="O2033" s="186"/>
      <c r="P2033" s="186"/>
      <c r="Q2033" s="182"/>
      <c r="R2033" s="182"/>
      <c r="S2033" s="182"/>
      <c r="T2033" s="186"/>
      <c r="U2033" s="186"/>
    </row>
    <row r="2034" spans="2:21" x14ac:dyDescent="0.2">
      <c r="B2034" s="182"/>
      <c r="C2034" s="182"/>
      <c r="D2034" s="182"/>
      <c r="E2034" s="182"/>
      <c r="F2034" s="182"/>
      <c r="I2034" s="40"/>
      <c r="J2034" s="186"/>
      <c r="K2034" s="186"/>
      <c r="L2034" s="186"/>
      <c r="M2034" s="186"/>
      <c r="N2034" s="186"/>
      <c r="O2034" s="186"/>
      <c r="P2034" s="186"/>
      <c r="Q2034" s="182"/>
      <c r="R2034" s="182"/>
      <c r="S2034" s="182"/>
      <c r="T2034" s="186"/>
      <c r="U2034" s="186"/>
    </row>
    <row r="2035" spans="2:21" x14ac:dyDescent="0.2">
      <c r="B2035" s="182"/>
      <c r="C2035" s="182"/>
      <c r="D2035" s="182"/>
      <c r="E2035" s="182"/>
      <c r="F2035" s="182"/>
      <c r="I2035" s="40"/>
      <c r="J2035" s="186"/>
      <c r="K2035" s="186"/>
      <c r="L2035" s="186"/>
      <c r="M2035" s="186"/>
      <c r="N2035" s="186"/>
      <c r="O2035" s="186"/>
      <c r="P2035" s="186"/>
      <c r="Q2035" s="182"/>
      <c r="R2035" s="182"/>
      <c r="S2035" s="182"/>
      <c r="T2035" s="186"/>
      <c r="U2035" s="186"/>
    </row>
    <row r="2036" spans="2:21" x14ac:dyDescent="0.2">
      <c r="B2036" s="182"/>
      <c r="C2036" s="182"/>
      <c r="D2036" s="182"/>
      <c r="E2036" s="182"/>
      <c r="F2036" s="182"/>
      <c r="I2036" s="40"/>
      <c r="J2036" s="186"/>
      <c r="K2036" s="186"/>
      <c r="L2036" s="186"/>
      <c r="M2036" s="186"/>
      <c r="N2036" s="186"/>
      <c r="O2036" s="186"/>
      <c r="P2036" s="186"/>
      <c r="Q2036" s="182"/>
      <c r="R2036" s="182"/>
      <c r="S2036" s="182"/>
      <c r="T2036" s="186"/>
      <c r="U2036" s="186"/>
    </row>
    <row r="2037" spans="2:21" x14ac:dyDescent="0.2">
      <c r="B2037" s="182"/>
      <c r="C2037" s="182"/>
      <c r="D2037" s="182"/>
      <c r="E2037" s="182"/>
      <c r="F2037" s="182"/>
      <c r="I2037" s="40"/>
      <c r="J2037" s="186"/>
      <c r="K2037" s="186"/>
      <c r="L2037" s="186"/>
      <c r="M2037" s="186"/>
      <c r="N2037" s="186"/>
      <c r="O2037" s="186"/>
      <c r="P2037" s="186"/>
      <c r="Q2037" s="182"/>
      <c r="R2037" s="182"/>
      <c r="S2037" s="182"/>
      <c r="T2037" s="186"/>
      <c r="U2037" s="186"/>
    </row>
    <row r="2038" spans="2:21" x14ac:dyDescent="0.2">
      <c r="B2038" s="182"/>
      <c r="C2038" s="182"/>
      <c r="D2038" s="182"/>
      <c r="E2038" s="182"/>
      <c r="F2038" s="182"/>
      <c r="I2038" s="40"/>
      <c r="J2038" s="186"/>
      <c r="K2038" s="186"/>
      <c r="L2038" s="186"/>
      <c r="M2038" s="186"/>
      <c r="N2038" s="186"/>
      <c r="O2038" s="186"/>
      <c r="P2038" s="186"/>
      <c r="Q2038" s="182"/>
      <c r="R2038" s="182"/>
      <c r="S2038" s="182"/>
      <c r="T2038" s="186"/>
      <c r="U2038" s="186"/>
    </row>
    <row r="2039" spans="2:21" x14ac:dyDescent="0.2">
      <c r="B2039" s="182"/>
      <c r="C2039" s="182"/>
      <c r="D2039" s="182"/>
      <c r="E2039" s="182"/>
      <c r="F2039" s="182"/>
      <c r="I2039" s="40"/>
      <c r="J2039" s="186"/>
      <c r="K2039" s="186"/>
      <c r="L2039" s="186"/>
      <c r="M2039" s="186"/>
      <c r="N2039" s="186"/>
      <c r="O2039" s="186"/>
      <c r="P2039" s="186"/>
      <c r="Q2039" s="182"/>
      <c r="R2039" s="182"/>
      <c r="S2039" s="182"/>
      <c r="T2039" s="186"/>
      <c r="U2039" s="186"/>
    </row>
    <row r="2040" spans="2:21" x14ac:dyDescent="0.2">
      <c r="B2040" s="182"/>
      <c r="C2040" s="182"/>
      <c r="D2040" s="182"/>
      <c r="E2040" s="182"/>
      <c r="F2040" s="182"/>
      <c r="I2040" s="40"/>
      <c r="J2040" s="186"/>
      <c r="K2040" s="186"/>
      <c r="L2040" s="186"/>
      <c r="M2040" s="186"/>
      <c r="N2040" s="186"/>
      <c r="O2040" s="186"/>
      <c r="P2040" s="186"/>
      <c r="Q2040" s="182"/>
      <c r="R2040" s="182"/>
      <c r="S2040" s="182"/>
      <c r="T2040" s="186"/>
      <c r="U2040" s="186"/>
    </row>
    <row r="2041" spans="2:21" x14ac:dyDescent="0.2">
      <c r="B2041" s="182"/>
      <c r="C2041" s="182"/>
      <c r="D2041" s="182"/>
      <c r="E2041" s="182"/>
      <c r="F2041" s="182"/>
      <c r="I2041" s="40"/>
      <c r="J2041" s="186"/>
      <c r="K2041" s="186"/>
      <c r="L2041" s="186"/>
      <c r="M2041" s="186"/>
      <c r="N2041" s="186"/>
      <c r="O2041" s="186"/>
      <c r="P2041" s="186"/>
      <c r="Q2041" s="182"/>
      <c r="R2041" s="182"/>
      <c r="S2041" s="182"/>
      <c r="T2041" s="186"/>
      <c r="U2041" s="186"/>
    </row>
    <row r="2042" spans="2:21" x14ac:dyDescent="0.2">
      <c r="B2042" s="182"/>
      <c r="C2042" s="182"/>
      <c r="D2042" s="182"/>
      <c r="E2042" s="182"/>
      <c r="F2042" s="182"/>
      <c r="I2042" s="40"/>
      <c r="J2042" s="186"/>
      <c r="K2042" s="186"/>
      <c r="L2042" s="186"/>
      <c r="M2042" s="186"/>
      <c r="N2042" s="186"/>
      <c r="O2042" s="186"/>
      <c r="P2042" s="186"/>
      <c r="Q2042" s="182"/>
      <c r="R2042" s="182"/>
      <c r="S2042" s="182"/>
      <c r="T2042" s="186"/>
      <c r="U2042" s="186"/>
    </row>
    <row r="2043" spans="2:21" x14ac:dyDescent="0.2">
      <c r="B2043" s="182"/>
      <c r="C2043" s="182"/>
      <c r="D2043" s="182"/>
      <c r="E2043" s="182"/>
      <c r="F2043" s="182"/>
      <c r="I2043" s="40"/>
      <c r="J2043" s="186"/>
      <c r="K2043" s="186"/>
      <c r="L2043" s="186"/>
      <c r="M2043" s="186"/>
      <c r="N2043" s="186"/>
      <c r="O2043" s="186"/>
      <c r="P2043" s="186"/>
      <c r="Q2043" s="182"/>
      <c r="R2043" s="182"/>
      <c r="S2043" s="182"/>
      <c r="T2043" s="186"/>
      <c r="U2043" s="186"/>
    </row>
    <row r="2044" spans="2:21" x14ac:dyDescent="0.2">
      <c r="B2044" s="182"/>
      <c r="C2044" s="182"/>
      <c r="D2044" s="182"/>
      <c r="E2044" s="182"/>
      <c r="F2044" s="182"/>
      <c r="I2044" s="40"/>
      <c r="J2044" s="186"/>
      <c r="K2044" s="186"/>
      <c r="L2044" s="186"/>
      <c r="M2044" s="186"/>
      <c r="N2044" s="186"/>
      <c r="O2044" s="186"/>
      <c r="P2044" s="186"/>
      <c r="Q2044" s="182"/>
      <c r="R2044" s="182"/>
      <c r="S2044" s="182"/>
      <c r="T2044" s="186"/>
      <c r="U2044" s="186"/>
    </row>
    <row r="2045" spans="2:21" x14ac:dyDescent="0.2">
      <c r="B2045" s="182"/>
      <c r="C2045" s="182"/>
      <c r="D2045" s="182"/>
      <c r="E2045" s="182"/>
      <c r="F2045" s="182"/>
      <c r="I2045" s="40"/>
      <c r="J2045" s="186"/>
      <c r="K2045" s="186"/>
      <c r="L2045" s="186"/>
      <c r="M2045" s="186"/>
      <c r="N2045" s="186"/>
      <c r="O2045" s="186"/>
      <c r="P2045" s="186"/>
      <c r="Q2045" s="182"/>
      <c r="R2045" s="182"/>
      <c r="S2045" s="182"/>
      <c r="T2045" s="186"/>
      <c r="U2045" s="186"/>
    </row>
    <row r="2046" spans="2:21" x14ac:dyDescent="0.2">
      <c r="B2046" s="182"/>
      <c r="C2046" s="182"/>
      <c r="D2046" s="182"/>
      <c r="E2046" s="182"/>
      <c r="F2046" s="182"/>
      <c r="I2046" s="40"/>
      <c r="J2046" s="186"/>
      <c r="K2046" s="186"/>
      <c r="L2046" s="186"/>
      <c r="M2046" s="186"/>
      <c r="N2046" s="186"/>
      <c r="O2046" s="186"/>
      <c r="P2046" s="186"/>
      <c r="Q2046" s="182"/>
      <c r="R2046" s="182"/>
      <c r="S2046" s="182"/>
      <c r="T2046" s="186"/>
      <c r="U2046" s="186"/>
    </row>
    <row r="2047" spans="2:21" x14ac:dyDescent="0.2">
      <c r="B2047" s="182"/>
      <c r="C2047" s="182"/>
      <c r="D2047" s="182"/>
      <c r="E2047" s="182"/>
      <c r="F2047" s="182"/>
      <c r="I2047" s="40"/>
      <c r="J2047" s="186"/>
      <c r="K2047" s="186"/>
      <c r="L2047" s="186"/>
      <c r="M2047" s="186"/>
      <c r="N2047" s="186"/>
      <c r="O2047" s="186"/>
      <c r="P2047" s="186"/>
      <c r="Q2047" s="182"/>
      <c r="R2047" s="182"/>
      <c r="S2047" s="182"/>
      <c r="T2047" s="186"/>
      <c r="U2047" s="186"/>
    </row>
    <row r="2048" spans="2:21" x14ac:dyDescent="0.2">
      <c r="B2048" s="182"/>
      <c r="C2048" s="182"/>
      <c r="D2048" s="182"/>
      <c r="E2048" s="182"/>
      <c r="F2048" s="182"/>
      <c r="I2048" s="40"/>
      <c r="J2048" s="186"/>
      <c r="K2048" s="186"/>
      <c r="L2048" s="186"/>
      <c r="M2048" s="186"/>
      <c r="N2048" s="186"/>
      <c r="O2048" s="186"/>
      <c r="P2048" s="186"/>
      <c r="Q2048" s="182"/>
      <c r="R2048" s="182"/>
      <c r="S2048" s="182"/>
      <c r="T2048" s="186"/>
      <c r="U2048" s="186"/>
    </row>
    <row r="2049" spans="2:21" x14ac:dyDescent="0.2">
      <c r="B2049" s="182"/>
      <c r="C2049" s="182"/>
      <c r="D2049" s="182"/>
      <c r="E2049" s="182"/>
      <c r="F2049" s="182"/>
      <c r="I2049" s="40"/>
      <c r="J2049" s="186"/>
      <c r="K2049" s="186"/>
      <c r="L2049" s="186"/>
      <c r="M2049" s="186"/>
      <c r="N2049" s="186"/>
      <c r="O2049" s="186"/>
      <c r="P2049" s="186"/>
      <c r="Q2049" s="182"/>
      <c r="R2049" s="182"/>
      <c r="S2049" s="182"/>
      <c r="T2049" s="186"/>
      <c r="U2049" s="186"/>
    </row>
    <row r="2050" spans="2:21" x14ac:dyDescent="0.2">
      <c r="B2050" s="182"/>
      <c r="C2050" s="182"/>
      <c r="D2050" s="182"/>
      <c r="E2050" s="182"/>
      <c r="F2050" s="182"/>
      <c r="I2050" s="40"/>
      <c r="J2050" s="186"/>
      <c r="K2050" s="186"/>
      <c r="L2050" s="186"/>
      <c r="M2050" s="186"/>
      <c r="N2050" s="186"/>
      <c r="O2050" s="186"/>
      <c r="P2050" s="186"/>
      <c r="Q2050" s="182"/>
      <c r="R2050" s="182"/>
      <c r="S2050" s="182"/>
      <c r="T2050" s="186"/>
      <c r="U2050" s="186"/>
    </row>
    <row r="2051" spans="2:21" x14ac:dyDescent="0.2">
      <c r="B2051" s="182"/>
      <c r="C2051" s="182"/>
      <c r="D2051" s="182"/>
      <c r="E2051" s="182"/>
      <c r="F2051" s="182"/>
      <c r="I2051" s="40"/>
      <c r="J2051" s="186"/>
      <c r="K2051" s="186"/>
      <c r="L2051" s="186"/>
      <c r="M2051" s="186"/>
      <c r="N2051" s="186"/>
      <c r="O2051" s="186"/>
      <c r="P2051" s="186"/>
      <c r="Q2051" s="182"/>
      <c r="R2051" s="182"/>
      <c r="S2051" s="182"/>
      <c r="T2051" s="186"/>
      <c r="U2051" s="186"/>
    </row>
    <row r="2052" spans="2:21" x14ac:dyDescent="0.2">
      <c r="B2052" s="182"/>
      <c r="C2052" s="182"/>
      <c r="D2052" s="182"/>
      <c r="E2052" s="182"/>
      <c r="F2052" s="182"/>
      <c r="I2052" s="40"/>
      <c r="J2052" s="186"/>
      <c r="K2052" s="186"/>
      <c r="L2052" s="186"/>
      <c r="M2052" s="186"/>
      <c r="N2052" s="186"/>
      <c r="O2052" s="186"/>
      <c r="P2052" s="186"/>
      <c r="Q2052" s="182"/>
      <c r="R2052" s="182"/>
      <c r="S2052" s="182"/>
      <c r="T2052" s="186"/>
      <c r="U2052" s="186"/>
    </row>
    <row r="2053" spans="2:21" x14ac:dyDescent="0.2">
      <c r="B2053" s="182"/>
      <c r="C2053" s="182"/>
      <c r="D2053" s="182"/>
      <c r="E2053" s="182"/>
      <c r="F2053" s="182"/>
      <c r="I2053" s="40"/>
      <c r="J2053" s="186"/>
      <c r="K2053" s="186"/>
      <c r="L2053" s="186"/>
      <c r="M2053" s="186"/>
      <c r="N2053" s="186"/>
      <c r="O2053" s="186"/>
      <c r="P2053" s="186"/>
      <c r="Q2053" s="182"/>
      <c r="R2053" s="182"/>
      <c r="S2053" s="182"/>
      <c r="T2053" s="186"/>
      <c r="U2053" s="186"/>
    </row>
    <row r="2054" spans="2:21" x14ac:dyDescent="0.2">
      <c r="B2054" s="182"/>
      <c r="C2054" s="182"/>
      <c r="D2054" s="182"/>
      <c r="E2054" s="182"/>
      <c r="F2054" s="182"/>
      <c r="I2054" s="40"/>
      <c r="J2054" s="186"/>
      <c r="K2054" s="186"/>
      <c r="L2054" s="186"/>
      <c r="M2054" s="186"/>
      <c r="N2054" s="186"/>
      <c r="O2054" s="186"/>
      <c r="P2054" s="186"/>
      <c r="Q2054" s="182"/>
      <c r="R2054" s="182"/>
      <c r="S2054" s="182"/>
      <c r="T2054" s="186"/>
      <c r="U2054" s="186"/>
    </row>
    <row r="2055" spans="2:21" x14ac:dyDescent="0.2">
      <c r="B2055" s="182"/>
      <c r="C2055" s="182"/>
      <c r="D2055" s="182"/>
      <c r="E2055" s="182"/>
      <c r="F2055" s="182"/>
      <c r="I2055" s="40"/>
      <c r="J2055" s="186"/>
      <c r="K2055" s="186"/>
      <c r="L2055" s="186"/>
      <c r="M2055" s="186"/>
      <c r="N2055" s="186"/>
      <c r="O2055" s="186"/>
      <c r="P2055" s="186"/>
      <c r="Q2055" s="182"/>
      <c r="R2055" s="182"/>
      <c r="S2055" s="182"/>
      <c r="T2055" s="186"/>
      <c r="U2055" s="186"/>
    </row>
    <row r="2056" spans="2:21" x14ac:dyDescent="0.2">
      <c r="B2056" s="182"/>
      <c r="C2056" s="182"/>
      <c r="D2056" s="182"/>
      <c r="E2056" s="182"/>
      <c r="F2056" s="182"/>
      <c r="I2056" s="40"/>
      <c r="J2056" s="186"/>
      <c r="K2056" s="186"/>
      <c r="L2056" s="186"/>
      <c r="M2056" s="186"/>
      <c r="N2056" s="186"/>
      <c r="O2056" s="186"/>
      <c r="P2056" s="186"/>
      <c r="Q2056" s="182"/>
      <c r="R2056" s="182"/>
      <c r="S2056" s="182"/>
      <c r="T2056" s="186"/>
      <c r="U2056" s="186"/>
    </row>
    <row r="2057" spans="2:21" x14ac:dyDescent="0.2">
      <c r="B2057" s="182"/>
      <c r="C2057" s="182"/>
      <c r="D2057" s="182"/>
      <c r="E2057" s="182"/>
      <c r="F2057" s="182"/>
      <c r="I2057" s="40"/>
      <c r="J2057" s="186"/>
      <c r="K2057" s="186"/>
      <c r="L2057" s="186"/>
      <c r="M2057" s="186"/>
      <c r="N2057" s="186"/>
      <c r="O2057" s="186"/>
      <c r="P2057" s="186"/>
      <c r="Q2057" s="182"/>
      <c r="R2057" s="182"/>
      <c r="S2057" s="182"/>
      <c r="T2057" s="186"/>
      <c r="U2057" s="186"/>
    </row>
    <row r="2058" spans="2:21" x14ac:dyDescent="0.2">
      <c r="B2058" s="182"/>
      <c r="C2058" s="182"/>
      <c r="D2058" s="182"/>
      <c r="E2058" s="182"/>
      <c r="F2058" s="182"/>
      <c r="I2058" s="40"/>
      <c r="J2058" s="186"/>
      <c r="K2058" s="186"/>
      <c r="L2058" s="186"/>
      <c r="M2058" s="186"/>
      <c r="N2058" s="186"/>
      <c r="O2058" s="186"/>
      <c r="P2058" s="186"/>
      <c r="Q2058" s="182"/>
      <c r="R2058" s="182"/>
      <c r="S2058" s="182"/>
      <c r="T2058" s="186"/>
      <c r="U2058" s="186"/>
    </row>
    <row r="2059" spans="2:21" x14ac:dyDescent="0.2">
      <c r="B2059" s="182"/>
      <c r="C2059" s="182"/>
      <c r="D2059" s="182"/>
      <c r="E2059" s="182"/>
      <c r="F2059" s="182"/>
      <c r="I2059" s="40"/>
      <c r="J2059" s="186"/>
      <c r="K2059" s="186"/>
      <c r="L2059" s="186"/>
      <c r="M2059" s="186"/>
      <c r="N2059" s="186"/>
      <c r="O2059" s="186"/>
      <c r="P2059" s="186"/>
      <c r="Q2059" s="182"/>
      <c r="R2059" s="182"/>
      <c r="S2059" s="182"/>
      <c r="T2059" s="186"/>
      <c r="U2059" s="186"/>
    </row>
    <row r="2060" spans="2:21" x14ac:dyDescent="0.2">
      <c r="B2060" s="182"/>
      <c r="C2060" s="182"/>
      <c r="D2060" s="182"/>
      <c r="E2060" s="182"/>
      <c r="F2060" s="182"/>
      <c r="I2060" s="40"/>
      <c r="J2060" s="186"/>
      <c r="K2060" s="186"/>
      <c r="L2060" s="186"/>
      <c r="M2060" s="186"/>
      <c r="N2060" s="186"/>
      <c r="O2060" s="186"/>
      <c r="P2060" s="186"/>
      <c r="Q2060" s="182"/>
      <c r="R2060" s="182"/>
      <c r="S2060" s="182"/>
      <c r="T2060" s="186"/>
      <c r="U2060" s="186"/>
    </row>
    <row r="2061" spans="2:21" x14ac:dyDescent="0.2">
      <c r="B2061" s="182"/>
      <c r="C2061" s="182"/>
      <c r="D2061" s="182"/>
      <c r="E2061" s="182"/>
      <c r="F2061" s="182"/>
      <c r="I2061" s="40"/>
      <c r="J2061" s="186"/>
      <c r="K2061" s="186"/>
      <c r="L2061" s="186"/>
      <c r="M2061" s="186"/>
      <c r="N2061" s="186"/>
      <c r="O2061" s="186"/>
      <c r="P2061" s="186"/>
      <c r="Q2061" s="182"/>
      <c r="R2061" s="182"/>
      <c r="S2061" s="182"/>
      <c r="T2061" s="186"/>
      <c r="U2061" s="186"/>
    </row>
    <row r="2062" spans="2:21" x14ac:dyDescent="0.2">
      <c r="B2062" s="182"/>
      <c r="C2062" s="182"/>
      <c r="D2062" s="182"/>
      <c r="E2062" s="182"/>
      <c r="F2062" s="182"/>
      <c r="I2062" s="40"/>
      <c r="J2062" s="186"/>
      <c r="K2062" s="186"/>
      <c r="L2062" s="186"/>
      <c r="M2062" s="186"/>
      <c r="N2062" s="186"/>
      <c r="O2062" s="186"/>
      <c r="P2062" s="186"/>
      <c r="Q2062" s="182"/>
      <c r="R2062" s="182"/>
      <c r="S2062" s="182"/>
      <c r="T2062" s="186"/>
      <c r="U2062" s="186"/>
    </row>
    <row r="2063" spans="2:21" x14ac:dyDescent="0.2">
      <c r="B2063" s="182"/>
      <c r="C2063" s="182"/>
      <c r="D2063" s="182"/>
      <c r="E2063" s="182"/>
      <c r="F2063" s="182"/>
      <c r="I2063" s="40"/>
      <c r="J2063" s="186"/>
      <c r="K2063" s="186"/>
      <c r="L2063" s="186"/>
      <c r="M2063" s="186"/>
      <c r="N2063" s="186"/>
      <c r="O2063" s="186"/>
      <c r="P2063" s="186"/>
      <c r="Q2063" s="182"/>
      <c r="R2063" s="182"/>
      <c r="S2063" s="182"/>
      <c r="T2063" s="186"/>
      <c r="U2063" s="186"/>
    </row>
    <row r="2064" spans="2:21" x14ac:dyDescent="0.2">
      <c r="B2064" s="182"/>
      <c r="C2064" s="182"/>
      <c r="D2064" s="182"/>
      <c r="E2064" s="182"/>
      <c r="F2064" s="182"/>
      <c r="I2064" s="40"/>
      <c r="J2064" s="186"/>
      <c r="K2064" s="186"/>
      <c r="L2064" s="186"/>
      <c r="M2064" s="186"/>
      <c r="N2064" s="186"/>
      <c r="O2064" s="186"/>
      <c r="P2064" s="186"/>
      <c r="Q2064" s="182"/>
      <c r="R2064" s="182"/>
      <c r="S2064" s="182"/>
      <c r="T2064" s="186"/>
      <c r="U2064" s="186"/>
    </row>
    <row r="2065" spans="2:21" x14ac:dyDescent="0.2">
      <c r="B2065" s="182"/>
      <c r="C2065" s="182"/>
      <c r="D2065" s="182"/>
      <c r="E2065" s="182"/>
      <c r="F2065" s="182"/>
      <c r="I2065" s="40"/>
      <c r="J2065" s="186"/>
      <c r="K2065" s="186"/>
      <c r="L2065" s="186"/>
      <c r="M2065" s="186"/>
      <c r="N2065" s="186"/>
      <c r="O2065" s="186"/>
      <c r="P2065" s="186"/>
      <c r="Q2065" s="182"/>
      <c r="R2065" s="182"/>
      <c r="S2065" s="182"/>
      <c r="T2065" s="186"/>
      <c r="U2065" s="186"/>
    </row>
    <row r="2066" spans="2:21" x14ac:dyDescent="0.2">
      <c r="B2066" s="182"/>
      <c r="C2066" s="182"/>
      <c r="D2066" s="182"/>
      <c r="E2066" s="182"/>
      <c r="F2066" s="182"/>
      <c r="I2066" s="40"/>
      <c r="J2066" s="186"/>
      <c r="K2066" s="186"/>
      <c r="L2066" s="186"/>
      <c r="M2066" s="186"/>
      <c r="N2066" s="186"/>
      <c r="O2066" s="186"/>
      <c r="P2066" s="186"/>
      <c r="Q2066" s="182"/>
      <c r="R2066" s="182"/>
      <c r="S2066" s="182"/>
      <c r="T2066" s="186"/>
      <c r="U2066" s="186"/>
    </row>
    <row r="2067" spans="2:21" x14ac:dyDescent="0.2">
      <c r="B2067" s="182"/>
      <c r="C2067" s="182"/>
      <c r="D2067" s="182"/>
      <c r="E2067" s="182"/>
      <c r="F2067" s="182"/>
      <c r="I2067" s="40"/>
      <c r="J2067" s="186"/>
      <c r="K2067" s="186"/>
      <c r="L2067" s="186"/>
      <c r="M2067" s="186"/>
      <c r="N2067" s="186"/>
      <c r="O2067" s="186"/>
      <c r="P2067" s="186"/>
      <c r="Q2067" s="182"/>
      <c r="R2067" s="182"/>
      <c r="S2067" s="182"/>
      <c r="T2067" s="186"/>
      <c r="U2067" s="186"/>
    </row>
    <row r="2068" spans="2:21" x14ac:dyDescent="0.2">
      <c r="B2068" s="182"/>
      <c r="C2068" s="182"/>
      <c r="D2068" s="182"/>
      <c r="E2068" s="182"/>
      <c r="F2068" s="182"/>
      <c r="I2068" s="40"/>
      <c r="J2068" s="186"/>
      <c r="K2068" s="186"/>
      <c r="L2068" s="186"/>
      <c r="M2068" s="186"/>
      <c r="N2068" s="186"/>
      <c r="O2068" s="186"/>
      <c r="P2068" s="186"/>
      <c r="Q2068" s="182"/>
      <c r="R2068" s="182"/>
      <c r="S2068" s="182"/>
      <c r="T2068" s="186"/>
      <c r="U2068" s="186"/>
    </row>
    <row r="2069" spans="2:21" x14ac:dyDescent="0.2">
      <c r="B2069" s="182"/>
      <c r="C2069" s="182"/>
      <c r="D2069" s="182"/>
      <c r="E2069" s="182"/>
      <c r="F2069" s="182"/>
      <c r="I2069" s="40"/>
      <c r="J2069" s="186"/>
      <c r="K2069" s="186"/>
      <c r="L2069" s="186"/>
      <c r="M2069" s="186"/>
      <c r="N2069" s="186"/>
      <c r="O2069" s="186"/>
      <c r="P2069" s="186"/>
      <c r="Q2069" s="182"/>
      <c r="R2069" s="182"/>
      <c r="S2069" s="182"/>
      <c r="T2069" s="186"/>
      <c r="U2069" s="186"/>
    </row>
    <row r="2070" spans="2:21" x14ac:dyDescent="0.2">
      <c r="B2070" s="182"/>
      <c r="C2070" s="182"/>
      <c r="D2070" s="182"/>
      <c r="E2070" s="182"/>
      <c r="F2070" s="182"/>
      <c r="I2070" s="40"/>
      <c r="J2070" s="186"/>
      <c r="K2070" s="186"/>
      <c r="L2070" s="186"/>
      <c r="M2070" s="186"/>
      <c r="N2070" s="186"/>
      <c r="O2070" s="186"/>
      <c r="P2070" s="186"/>
      <c r="Q2070" s="182"/>
      <c r="R2070" s="182"/>
      <c r="S2070" s="182"/>
      <c r="T2070" s="186"/>
      <c r="U2070" s="186"/>
    </row>
    <row r="2071" spans="2:21" x14ac:dyDescent="0.2">
      <c r="B2071" s="182"/>
      <c r="C2071" s="182"/>
      <c r="D2071" s="182"/>
      <c r="E2071" s="182"/>
      <c r="F2071" s="182"/>
      <c r="I2071" s="40"/>
      <c r="J2071" s="186"/>
      <c r="K2071" s="186"/>
      <c r="L2071" s="186"/>
      <c r="M2071" s="186"/>
      <c r="N2071" s="186"/>
      <c r="O2071" s="186"/>
      <c r="P2071" s="186"/>
      <c r="Q2071" s="182"/>
      <c r="R2071" s="182"/>
      <c r="S2071" s="182"/>
      <c r="T2071" s="186"/>
      <c r="U2071" s="186"/>
    </row>
    <row r="2072" spans="2:21" x14ac:dyDescent="0.2">
      <c r="B2072" s="182"/>
      <c r="C2072" s="182"/>
      <c r="D2072" s="182"/>
      <c r="E2072" s="182"/>
      <c r="F2072" s="182"/>
      <c r="I2072" s="40"/>
      <c r="J2072" s="186"/>
      <c r="K2072" s="186"/>
      <c r="L2072" s="186"/>
      <c r="M2072" s="186"/>
      <c r="N2072" s="186"/>
      <c r="O2072" s="186"/>
      <c r="P2072" s="186"/>
      <c r="Q2072" s="182"/>
      <c r="R2072" s="182"/>
      <c r="S2072" s="182"/>
      <c r="T2072" s="186"/>
      <c r="U2072" s="186"/>
    </row>
    <row r="2073" spans="2:21" x14ac:dyDescent="0.2">
      <c r="B2073" s="182"/>
      <c r="C2073" s="182"/>
      <c r="D2073" s="182"/>
      <c r="E2073" s="182"/>
      <c r="F2073" s="182"/>
      <c r="I2073" s="40"/>
      <c r="J2073" s="186"/>
      <c r="K2073" s="186"/>
      <c r="L2073" s="186"/>
      <c r="M2073" s="186"/>
      <c r="N2073" s="186"/>
      <c r="O2073" s="186"/>
      <c r="P2073" s="186"/>
      <c r="Q2073" s="182"/>
      <c r="R2073" s="182"/>
      <c r="S2073" s="182"/>
      <c r="T2073" s="186"/>
      <c r="U2073" s="186"/>
    </row>
    <row r="2074" spans="2:21" x14ac:dyDescent="0.2">
      <c r="B2074" s="182"/>
      <c r="C2074" s="182"/>
      <c r="D2074" s="182"/>
      <c r="E2074" s="182"/>
      <c r="F2074" s="182"/>
      <c r="I2074" s="40"/>
      <c r="J2074" s="186"/>
      <c r="K2074" s="186"/>
      <c r="L2074" s="186"/>
      <c r="M2074" s="186"/>
      <c r="N2074" s="186"/>
      <c r="O2074" s="186"/>
      <c r="P2074" s="186"/>
      <c r="Q2074" s="182"/>
      <c r="R2074" s="182"/>
      <c r="S2074" s="182"/>
      <c r="T2074" s="186"/>
      <c r="U2074" s="186"/>
    </row>
    <row r="2075" spans="2:21" x14ac:dyDescent="0.2">
      <c r="B2075" s="182"/>
      <c r="C2075" s="182"/>
      <c r="D2075" s="182"/>
      <c r="E2075" s="182"/>
      <c r="F2075" s="182"/>
      <c r="I2075" s="40"/>
      <c r="J2075" s="186"/>
      <c r="K2075" s="186"/>
      <c r="L2075" s="186"/>
      <c r="M2075" s="186"/>
      <c r="N2075" s="186"/>
      <c r="O2075" s="186"/>
      <c r="P2075" s="186"/>
      <c r="Q2075" s="182"/>
      <c r="R2075" s="182"/>
      <c r="S2075" s="182"/>
      <c r="T2075" s="186"/>
      <c r="U2075" s="186"/>
    </row>
    <row r="2076" spans="2:21" x14ac:dyDescent="0.2">
      <c r="B2076" s="182"/>
      <c r="C2076" s="182"/>
      <c r="D2076" s="182"/>
      <c r="E2076" s="182"/>
      <c r="F2076" s="182"/>
      <c r="I2076" s="40"/>
      <c r="J2076" s="186"/>
      <c r="K2076" s="186"/>
      <c r="L2076" s="186"/>
      <c r="M2076" s="186"/>
      <c r="N2076" s="186"/>
      <c r="O2076" s="186"/>
      <c r="P2076" s="186"/>
      <c r="Q2076" s="182"/>
      <c r="R2076" s="182"/>
      <c r="S2076" s="182"/>
      <c r="T2076" s="186"/>
      <c r="U2076" s="186"/>
    </row>
    <row r="2077" spans="2:21" x14ac:dyDescent="0.2">
      <c r="B2077" s="182"/>
      <c r="C2077" s="182"/>
      <c r="D2077" s="182"/>
      <c r="E2077" s="182"/>
      <c r="F2077" s="182"/>
      <c r="I2077" s="40"/>
      <c r="J2077" s="186"/>
      <c r="K2077" s="186"/>
      <c r="L2077" s="186"/>
      <c r="M2077" s="186"/>
      <c r="N2077" s="186"/>
      <c r="O2077" s="186"/>
      <c r="P2077" s="186"/>
      <c r="Q2077" s="182"/>
      <c r="R2077" s="182"/>
      <c r="S2077" s="182"/>
      <c r="T2077" s="186"/>
      <c r="U2077" s="186"/>
    </row>
    <row r="2078" spans="2:21" x14ac:dyDescent="0.2">
      <c r="B2078" s="182"/>
      <c r="C2078" s="182"/>
      <c r="D2078" s="182"/>
      <c r="E2078" s="182"/>
      <c r="F2078" s="182"/>
      <c r="I2078" s="40"/>
      <c r="J2078" s="186"/>
      <c r="K2078" s="186"/>
      <c r="L2078" s="186"/>
      <c r="M2078" s="186"/>
      <c r="N2078" s="186"/>
      <c r="O2078" s="186"/>
      <c r="P2078" s="186"/>
      <c r="Q2078" s="182"/>
      <c r="R2078" s="182"/>
      <c r="S2078" s="182"/>
      <c r="T2078" s="186"/>
      <c r="U2078" s="186"/>
    </row>
    <row r="2079" spans="2:21" x14ac:dyDescent="0.2">
      <c r="B2079" s="182"/>
      <c r="C2079" s="182"/>
      <c r="D2079" s="182"/>
      <c r="E2079" s="182"/>
      <c r="F2079" s="182"/>
      <c r="I2079" s="40"/>
      <c r="J2079" s="186"/>
      <c r="K2079" s="186"/>
      <c r="L2079" s="186"/>
      <c r="M2079" s="186"/>
      <c r="N2079" s="186"/>
      <c r="O2079" s="186"/>
      <c r="P2079" s="186"/>
      <c r="Q2079" s="182"/>
      <c r="R2079" s="182"/>
      <c r="S2079" s="182"/>
      <c r="T2079" s="186"/>
      <c r="U2079" s="186"/>
    </row>
    <row r="2080" spans="2:21" x14ac:dyDescent="0.2">
      <c r="B2080" s="182"/>
      <c r="C2080" s="182"/>
      <c r="D2080" s="182"/>
      <c r="E2080" s="182"/>
      <c r="F2080" s="182"/>
      <c r="I2080" s="40"/>
      <c r="J2080" s="186"/>
      <c r="K2080" s="186"/>
      <c r="L2080" s="186"/>
      <c r="M2080" s="186"/>
      <c r="N2080" s="186"/>
      <c r="O2080" s="186"/>
      <c r="P2080" s="186"/>
      <c r="Q2080" s="182"/>
      <c r="R2080" s="182"/>
      <c r="S2080" s="182"/>
      <c r="T2080" s="186"/>
      <c r="U2080" s="186"/>
    </row>
    <row r="2081" spans="2:21" x14ac:dyDescent="0.2">
      <c r="B2081" s="182"/>
      <c r="C2081" s="182"/>
      <c r="D2081" s="182"/>
      <c r="E2081" s="182"/>
      <c r="F2081" s="182"/>
      <c r="I2081" s="40"/>
      <c r="J2081" s="186"/>
      <c r="K2081" s="186"/>
      <c r="L2081" s="186"/>
      <c r="M2081" s="186"/>
      <c r="N2081" s="186"/>
      <c r="O2081" s="186"/>
      <c r="P2081" s="186"/>
      <c r="Q2081" s="182"/>
      <c r="R2081" s="182"/>
      <c r="S2081" s="182"/>
      <c r="T2081" s="186"/>
      <c r="U2081" s="186"/>
    </row>
    <row r="2082" spans="2:21" x14ac:dyDescent="0.2">
      <c r="B2082" s="182"/>
      <c r="C2082" s="182"/>
      <c r="D2082" s="182"/>
      <c r="E2082" s="182"/>
      <c r="F2082" s="182"/>
      <c r="I2082" s="40"/>
      <c r="J2082" s="186"/>
      <c r="K2082" s="186"/>
      <c r="L2082" s="186"/>
      <c r="M2082" s="186"/>
      <c r="N2082" s="186"/>
      <c r="O2082" s="186"/>
      <c r="P2082" s="186"/>
      <c r="Q2082" s="182"/>
      <c r="R2082" s="182"/>
      <c r="S2082" s="182"/>
      <c r="T2082" s="186"/>
      <c r="U2082" s="186"/>
    </row>
    <row r="2083" spans="2:21" x14ac:dyDescent="0.2">
      <c r="B2083" s="182"/>
      <c r="C2083" s="182"/>
      <c r="D2083" s="182"/>
      <c r="E2083" s="182"/>
      <c r="F2083" s="182"/>
      <c r="I2083" s="40"/>
      <c r="J2083" s="186"/>
      <c r="K2083" s="186"/>
      <c r="L2083" s="186"/>
      <c r="M2083" s="186"/>
      <c r="N2083" s="186"/>
      <c r="O2083" s="186"/>
      <c r="P2083" s="186"/>
      <c r="Q2083" s="182"/>
      <c r="R2083" s="182"/>
      <c r="S2083" s="182"/>
      <c r="T2083" s="186"/>
      <c r="U2083" s="186"/>
    </row>
    <row r="2084" spans="2:21" x14ac:dyDescent="0.2">
      <c r="B2084" s="182"/>
      <c r="C2084" s="182"/>
      <c r="D2084" s="182"/>
      <c r="E2084" s="182"/>
      <c r="F2084" s="182"/>
      <c r="I2084" s="40"/>
      <c r="J2084" s="186"/>
      <c r="K2084" s="186"/>
      <c r="L2084" s="186"/>
      <c r="M2084" s="186"/>
      <c r="N2084" s="186"/>
      <c r="O2084" s="186"/>
      <c r="P2084" s="186"/>
      <c r="Q2084" s="182"/>
      <c r="R2084" s="182"/>
      <c r="S2084" s="182"/>
      <c r="T2084" s="186"/>
      <c r="U2084" s="186"/>
    </row>
    <row r="2085" spans="2:21" x14ac:dyDescent="0.2">
      <c r="B2085" s="182"/>
      <c r="C2085" s="182"/>
      <c r="D2085" s="182"/>
      <c r="E2085" s="182"/>
      <c r="F2085" s="182"/>
      <c r="I2085" s="40"/>
      <c r="J2085" s="186"/>
      <c r="K2085" s="186"/>
      <c r="L2085" s="186"/>
      <c r="M2085" s="186"/>
      <c r="N2085" s="186"/>
      <c r="O2085" s="186"/>
      <c r="P2085" s="186"/>
      <c r="Q2085" s="182"/>
      <c r="R2085" s="182"/>
      <c r="S2085" s="182"/>
      <c r="T2085" s="186"/>
      <c r="U2085" s="186"/>
    </row>
    <row r="2086" spans="2:21" x14ac:dyDescent="0.2">
      <c r="B2086" s="182"/>
      <c r="C2086" s="182"/>
      <c r="D2086" s="182"/>
      <c r="E2086" s="182"/>
      <c r="F2086" s="182"/>
      <c r="I2086" s="40"/>
      <c r="J2086" s="186"/>
      <c r="K2086" s="186"/>
      <c r="L2086" s="186"/>
      <c r="M2086" s="186"/>
      <c r="N2086" s="186"/>
      <c r="O2086" s="186"/>
      <c r="P2086" s="186"/>
      <c r="Q2086" s="182"/>
      <c r="R2086" s="182"/>
      <c r="S2086" s="182"/>
      <c r="T2086" s="186"/>
      <c r="U2086" s="186"/>
    </row>
    <row r="2087" spans="2:21" x14ac:dyDescent="0.2">
      <c r="B2087" s="182"/>
      <c r="C2087" s="182"/>
      <c r="D2087" s="182"/>
      <c r="E2087" s="182"/>
      <c r="F2087" s="182"/>
      <c r="I2087" s="40"/>
      <c r="J2087" s="186"/>
      <c r="K2087" s="186"/>
      <c r="L2087" s="186"/>
      <c r="M2087" s="186"/>
      <c r="N2087" s="186"/>
      <c r="O2087" s="186"/>
      <c r="P2087" s="186"/>
      <c r="Q2087" s="182"/>
      <c r="R2087" s="182"/>
      <c r="S2087" s="182"/>
      <c r="T2087" s="186"/>
      <c r="U2087" s="186"/>
    </row>
    <row r="2088" spans="2:21" x14ac:dyDescent="0.2">
      <c r="B2088" s="182"/>
      <c r="C2088" s="182"/>
      <c r="D2088" s="182"/>
      <c r="E2088" s="182"/>
      <c r="F2088" s="182"/>
      <c r="I2088" s="40"/>
      <c r="J2088" s="186"/>
      <c r="K2088" s="186"/>
      <c r="L2088" s="186"/>
      <c r="M2088" s="186"/>
      <c r="N2088" s="186"/>
      <c r="O2088" s="186"/>
      <c r="P2088" s="186"/>
      <c r="Q2088" s="182"/>
      <c r="R2088" s="182"/>
      <c r="S2088" s="182"/>
      <c r="T2088" s="186"/>
      <c r="U2088" s="186"/>
    </row>
    <row r="2089" spans="2:21" x14ac:dyDescent="0.2">
      <c r="B2089" s="182"/>
      <c r="C2089" s="182"/>
      <c r="D2089" s="182"/>
      <c r="E2089" s="182"/>
      <c r="F2089" s="182"/>
      <c r="I2089" s="40"/>
      <c r="J2089" s="186"/>
      <c r="K2089" s="186"/>
      <c r="L2089" s="186"/>
      <c r="M2089" s="186"/>
      <c r="N2089" s="186"/>
      <c r="O2089" s="186"/>
      <c r="P2089" s="186"/>
      <c r="Q2089" s="182"/>
      <c r="R2089" s="182"/>
      <c r="S2089" s="182"/>
      <c r="T2089" s="186"/>
      <c r="U2089" s="186"/>
    </row>
    <row r="2090" spans="2:21" x14ac:dyDescent="0.2">
      <c r="B2090" s="182"/>
      <c r="C2090" s="182"/>
      <c r="D2090" s="182"/>
      <c r="E2090" s="182"/>
      <c r="F2090" s="182"/>
      <c r="I2090" s="40"/>
      <c r="J2090" s="186"/>
      <c r="K2090" s="186"/>
      <c r="L2090" s="186"/>
      <c r="M2090" s="186"/>
      <c r="N2090" s="186"/>
      <c r="O2090" s="186"/>
      <c r="P2090" s="186"/>
      <c r="Q2090" s="182"/>
      <c r="R2090" s="182"/>
      <c r="S2090" s="182"/>
      <c r="T2090" s="186"/>
      <c r="U2090" s="186"/>
    </row>
    <row r="2091" spans="2:21" x14ac:dyDescent="0.2">
      <c r="B2091" s="182"/>
      <c r="C2091" s="182"/>
      <c r="D2091" s="182"/>
      <c r="E2091" s="182"/>
      <c r="F2091" s="182"/>
      <c r="I2091" s="40"/>
      <c r="J2091" s="186"/>
      <c r="K2091" s="186"/>
      <c r="L2091" s="186"/>
      <c r="M2091" s="186"/>
      <c r="N2091" s="186"/>
      <c r="O2091" s="186"/>
      <c r="P2091" s="186"/>
      <c r="Q2091" s="182"/>
      <c r="R2091" s="182"/>
      <c r="S2091" s="182"/>
      <c r="T2091" s="186"/>
      <c r="U2091" s="186"/>
    </row>
    <row r="2092" spans="2:21" x14ac:dyDescent="0.2">
      <c r="B2092" s="182"/>
      <c r="C2092" s="182"/>
      <c r="D2092" s="182"/>
      <c r="E2092" s="182"/>
      <c r="F2092" s="182"/>
      <c r="I2092" s="40"/>
      <c r="J2092" s="186"/>
      <c r="K2092" s="186"/>
      <c r="L2092" s="186"/>
      <c r="M2092" s="186"/>
      <c r="N2092" s="186"/>
      <c r="O2092" s="186"/>
      <c r="P2092" s="186"/>
      <c r="Q2092" s="182"/>
      <c r="R2092" s="182"/>
      <c r="S2092" s="182"/>
      <c r="T2092" s="186"/>
      <c r="U2092" s="186"/>
    </row>
    <row r="2093" spans="2:21" x14ac:dyDescent="0.2">
      <c r="B2093" s="182"/>
      <c r="C2093" s="182"/>
      <c r="D2093" s="182"/>
      <c r="E2093" s="182"/>
      <c r="F2093" s="182"/>
      <c r="I2093" s="40"/>
      <c r="J2093" s="186"/>
      <c r="K2093" s="186"/>
      <c r="L2093" s="186"/>
      <c r="M2093" s="186"/>
      <c r="N2093" s="186"/>
      <c r="O2093" s="186"/>
      <c r="P2093" s="186"/>
      <c r="Q2093" s="182"/>
      <c r="R2093" s="182"/>
      <c r="S2093" s="182"/>
      <c r="T2093" s="186"/>
      <c r="U2093" s="186"/>
    </row>
    <row r="2094" spans="2:21" x14ac:dyDescent="0.2">
      <c r="B2094" s="182"/>
      <c r="C2094" s="182"/>
      <c r="D2094" s="182"/>
      <c r="E2094" s="182"/>
      <c r="F2094" s="182"/>
      <c r="I2094" s="40"/>
      <c r="J2094" s="186"/>
      <c r="K2094" s="186"/>
      <c r="L2094" s="186"/>
      <c r="M2094" s="186"/>
      <c r="N2094" s="186"/>
      <c r="O2094" s="186"/>
      <c r="P2094" s="186"/>
      <c r="Q2094" s="182"/>
      <c r="R2094" s="182"/>
      <c r="S2094" s="182"/>
      <c r="T2094" s="186"/>
      <c r="U2094" s="186"/>
    </row>
    <row r="2095" spans="2:21" x14ac:dyDescent="0.2">
      <c r="B2095" s="182"/>
      <c r="C2095" s="182"/>
      <c r="D2095" s="182"/>
      <c r="E2095" s="182"/>
      <c r="F2095" s="182"/>
      <c r="I2095" s="40"/>
      <c r="J2095" s="186"/>
      <c r="K2095" s="186"/>
      <c r="L2095" s="186"/>
      <c r="M2095" s="186"/>
      <c r="N2095" s="186"/>
      <c r="O2095" s="186"/>
      <c r="P2095" s="186"/>
      <c r="Q2095" s="182"/>
      <c r="R2095" s="182"/>
      <c r="S2095" s="182"/>
      <c r="T2095" s="186"/>
      <c r="U2095" s="186"/>
    </row>
    <row r="2096" spans="2:21" x14ac:dyDescent="0.2">
      <c r="B2096" s="182"/>
      <c r="C2096" s="182"/>
      <c r="D2096" s="182"/>
      <c r="E2096" s="182"/>
      <c r="F2096" s="182"/>
      <c r="I2096" s="40"/>
      <c r="J2096" s="186"/>
      <c r="K2096" s="186"/>
      <c r="L2096" s="186"/>
      <c r="M2096" s="186"/>
      <c r="N2096" s="186"/>
      <c r="O2096" s="186"/>
      <c r="P2096" s="186"/>
      <c r="Q2096" s="182"/>
      <c r="R2096" s="182"/>
      <c r="S2096" s="182"/>
      <c r="T2096" s="186"/>
      <c r="U2096" s="186"/>
    </row>
    <row r="2097" spans="2:21" x14ac:dyDescent="0.2">
      <c r="B2097" s="182"/>
      <c r="C2097" s="182"/>
      <c r="D2097" s="182"/>
      <c r="E2097" s="182"/>
      <c r="F2097" s="182"/>
      <c r="I2097" s="40"/>
      <c r="J2097" s="186"/>
      <c r="K2097" s="186"/>
      <c r="L2097" s="186"/>
      <c r="M2097" s="186"/>
      <c r="N2097" s="186"/>
      <c r="O2097" s="186"/>
      <c r="P2097" s="186"/>
      <c r="Q2097" s="182"/>
      <c r="R2097" s="182"/>
      <c r="S2097" s="182"/>
      <c r="T2097" s="186"/>
      <c r="U2097" s="186"/>
    </row>
    <row r="2098" spans="2:21" x14ac:dyDescent="0.2">
      <c r="B2098" s="182"/>
      <c r="C2098" s="182"/>
      <c r="D2098" s="182"/>
      <c r="E2098" s="182"/>
      <c r="F2098" s="182"/>
      <c r="I2098" s="40"/>
      <c r="J2098" s="186"/>
      <c r="K2098" s="186"/>
      <c r="L2098" s="186"/>
      <c r="M2098" s="186"/>
      <c r="N2098" s="186"/>
      <c r="O2098" s="186"/>
      <c r="P2098" s="186"/>
      <c r="Q2098" s="182"/>
      <c r="R2098" s="182"/>
      <c r="S2098" s="182"/>
      <c r="T2098" s="186"/>
      <c r="U2098" s="186"/>
    </row>
    <row r="2099" spans="2:21" x14ac:dyDescent="0.2">
      <c r="B2099" s="182"/>
      <c r="C2099" s="182"/>
      <c r="D2099" s="182"/>
      <c r="E2099" s="182"/>
      <c r="F2099" s="182"/>
      <c r="I2099" s="40"/>
      <c r="J2099" s="186"/>
      <c r="K2099" s="186"/>
      <c r="L2099" s="186"/>
      <c r="M2099" s="186"/>
      <c r="N2099" s="186"/>
      <c r="O2099" s="186"/>
      <c r="P2099" s="186"/>
      <c r="Q2099" s="182"/>
      <c r="R2099" s="182"/>
      <c r="S2099" s="182"/>
      <c r="T2099" s="186"/>
      <c r="U2099" s="186"/>
    </row>
    <row r="2100" spans="2:21" x14ac:dyDescent="0.2">
      <c r="B2100" s="182"/>
      <c r="C2100" s="182"/>
      <c r="D2100" s="182"/>
      <c r="E2100" s="182"/>
      <c r="F2100" s="182"/>
      <c r="I2100" s="40"/>
      <c r="J2100" s="186"/>
      <c r="K2100" s="186"/>
      <c r="L2100" s="186"/>
      <c r="M2100" s="186"/>
      <c r="N2100" s="186"/>
      <c r="O2100" s="186"/>
      <c r="P2100" s="186"/>
      <c r="Q2100" s="182"/>
      <c r="R2100" s="182"/>
      <c r="S2100" s="182"/>
      <c r="T2100" s="186"/>
      <c r="U2100" s="186"/>
    </row>
    <row r="2101" spans="2:21" x14ac:dyDescent="0.2">
      <c r="B2101" s="182"/>
      <c r="C2101" s="182"/>
      <c r="D2101" s="182"/>
      <c r="E2101" s="182"/>
      <c r="F2101" s="182"/>
      <c r="I2101" s="40"/>
      <c r="J2101" s="186"/>
      <c r="K2101" s="186"/>
      <c r="L2101" s="186"/>
      <c r="M2101" s="186"/>
      <c r="N2101" s="186"/>
      <c r="O2101" s="186"/>
      <c r="P2101" s="186"/>
      <c r="Q2101" s="182"/>
      <c r="R2101" s="182"/>
      <c r="S2101" s="182"/>
      <c r="T2101" s="186"/>
      <c r="U2101" s="186"/>
    </row>
    <row r="2102" spans="2:21" x14ac:dyDescent="0.2">
      <c r="B2102" s="182"/>
      <c r="C2102" s="182"/>
      <c r="D2102" s="182"/>
      <c r="E2102" s="182"/>
      <c r="F2102" s="182"/>
      <c r="I2102" s="40"/>
      <c r="J2102" s="186"/>
      <c r="K2102" s="186"/>
      <c r="L2102" s="186"/>
      <c r="M2102" s="186"/>
      <c r="N2102" s="186"/>
      <c r="O2102" s="186"/>
      <c r="P2102" s="186"/>
      <c r="Q2102" s="182"/>
      <c r="R2102" s="182"/>
      <c r="S2102" s="182"/>
      <c r="T2102" s="186"/>
      <c r="U2102" s="186"/>
    </row>
    <row r="2103" spans="2:21" x14ac:dyDescent="0.2">
      <c r="B2103" s="182"/>
      <c r="C2103" s="182"/>
      <c r="D2103" s="182"/>
      <c r="E2103" s="182"/>
      <c r="F2103" s="182"/>
      <c r="I2103" s="40"/>
      <c r="J2103" s="186"/>
      <c r="K2103" s="186"/>
      <c r="L2103" s="186"/>
      <c r="M2103" s="186"/>
      <c r="N2103" s="186"/>
      <c r="O2103" s="186"/>
      <c r="P2103" s="186"/>
      <c r="Q2103" s="182"/>
      <c r="R2103" s="182"/>
      <c r="S2103" s="182"/>
      <c r="T2103" s="186"/>
      <c r="U2103" s="186"/>
    </row>
    <row r="2104" spans="2:21" x14ac:dyDescent="0.2">
      <c r="B2104" s="182"/>
      <c r="C2104" s="182"/>
      <c r="D2104" s="182"/>
      <c r="E2104" s="182"/>
      <c r="F2104" s="182"/>
      <c r="I2104" s="40"/>
      <c r="J2104" s="186"/>
      <c r="K2104" s="186"/>
      <c r="L2104" s="186"/>
      <c r="M2104" s="186"/>
      <c r="N2104" s="186"/>
      <c r="O2104" s="186"/>
      <c r="P2104" s="186"/>
      <c r="Q2104" s="182"/>
      <c r="R2104" s="182"/>
      <c r="S2104" s="182"/>
      <c r="T2104" s="186"/>
      <c r="U2104" s="186"/>
    </row>
    <row r="2105" spans="2:21" x14ac:dyDescent="0.2">
      <c r="B2105" s="182"/>
      <c r="C2105" s="182"/>
      <c r="D2105" s="182"/>
      <c r="E2105" s="182"/>
      <c r="F2105" s="182"/>
      <c r="I2105" s="40"/>
      <c r="J2105" s="186"/>
      <c r="K2105" s="186"/>
      <c r="L2105" s="186"/>
      <c r="M2105" s="186"/>
      <c r="N2105" s="186"/>
      <c r="O2105" s="186"/>
      <c r="P2105" s="186"/>
      <c r="Q2105" s="182"/>
      <c r="R2105" s="182"/>
      <c r="S2105" s="182"/>
      <c r="T2105" s="186"/>
      <c r="U2105" s="186"/>
    </row>
    <row r="2106" spans="2:21" x14ac:dyDescent="0.2">
      <c r="B2106" s="182"/>
      <c r="C2106" s="182"/>
      <c r="D2106" s="182"/>
      <c r="E2106" s="182"/>
      <c r="F2106" s="182"/>
      <c r="I2106" s="40"/>
      <c r="J2106" s="186"/>
      <c r="K2106" s="186"/>
      <c r="L2106" s="186"/>
      <c r="M2106" s="186"/>
      <c r="N2106" s="186"/>
      <c r="O2106" s="186"/>
      <c r="P2106" s="186"/>
      <c r="Q2106" s="182"/>
      <c r="R2106" s="182"/>
      <c r="S2106" s="182"/>
      <c r="T2106" s="186"/>
      <c r="U2106" s="186"/>
    </row>
    <row r="2107" spans="2:21" x14ac:dyDescent="0.2">
      <c r="B2107" s="182"/>
      <c r="C2107" s="182"/>
      <c r="D2107" s="182"/>
      <c r="E2107" s="182"/>
      <c r="F2107" s="182"/>
      <c r="I2107" s="40"/>
      <c r="J2107" s="186"/>
      <c r="K2107" s="186"/>
      <c r="L2107" s="186"/>
      <c r="M2107" s="186"/>
      <c r="N2107" s="186"/>
      <c r="O2107" s="186"/>
      <c r="P2107" s="186"/>
      <c r="Q2107" s="182"/>
      <c r="R2107" s="182"/>
      <c r="S2107" s="182"/>
      <c r="T2107" s="186"/>
      <c r="U2107" s="186"/>
    </row>
    <row r="2108" spans="2:21" x14ac:dyDescent="0.2">
      <c r="B2108" s="182"/>
      <c r="C2108" s="182"/>
      <c r="D2108" s="182"/>
      <c r="E2108" s="182"/>
      <c r="F2108" s="182"/>
      <c r="I2108" s="40"/>
      <c r="J2108" s="186"/>
      <c r="K2108" s="186"/>
      <c r="L2108" s="186"/>
      <c r="M2108" s="186"/>
      <c r="N2108" s="186"/>
      <c r="O2108" s="186"/>
      <c r="P2108" s="186"/>
      <c r="Q2108" s="182"/>
      <c r="R2108" s="182"/>
      <c r="S2108" s="182"/>
      <c r="T2108" s="186"/>
      <c r="U2108" s="186"/>
    </row>
    <row r="2109" spans="2:21" x14ac:dyDescent="0.2">
      <c r="B2109" s="182"/>
      <c r="C2109" s="182"/>
      <c r="D2109" s="182"/>
      <c r="E2109" s="182"/>
      <c r="F2109" s="182"/>
      <c r="I2109" s="40"/>
      <c r="J2109" s="186"/>
      <c r="K2109" s="186"/>
      <c r="L2109" s="186"/>
      <c r="M2109" s="186"/>
      <c r="N2109" s="186"/>
      <c r="O2109" s="186"/>
      <c r="P2109" s="186"/>
      <c r="Q2109" s="182"/>
      <c r="R2109" s="182"/>
      <c r="S2109" s="182"/>
      <c r="T2109" s="186"/>
      <c r="U2109" s="186"/>
    </row>
    <row r="2110" spans="2:21" x14ac:dyDescent="0.2">
      <c r="B2110" s="182"/>
      <c r="C2110" s="182"/>
      <c r="D2110" s="182"/>
      <c r="E2110" s="182"/>
      <c r="F2110" s="182"/>
      <c r="I2110" s="40"/>
      <c r="J2110" s="186"/>
      <c r="K2110" s="186"/>
      <c r="L2110" s="186"/>
      <c r="M2110" s="186"/>
      <c r="N2110" s="186"/>
      <c r="O2110" s="186"/>
      <c r="P2110" s="186"/>
      <c r="Q2110" s="182"/>
      <c r="R2110" s="182"/>
      <c r="S2110" s="182"/>
      <c r="T2110" s="186"/>
      <c r="U2110" s="186"/>
    </row>
    <row r="2111" spans="2:21" x14ac:dyDescent="0.2">
      <c r="B2111" s="182"/>
      <c r="C2111" s="182"/>
      <c r="D2111" s="182"/>
      <c r="E2111" s="182"/>
      <c r="F2111" s="182"/>
      <c r="I2111" s="40"/>
      <c r="J2111" s="186"/>
      <c r="K2111" s="186"/>
      <c r="L2111" s="186"/>
      <c r="M2111" s="186"/>
      <c r="N2111" s="186"/>
      <c r="O2111" s="186"/>
      <c r="P2111" s="186"/>
      <c r="Q2111" s="182"/>
      <c r="R2111" s="182"/>
      <c r="S2111" s="182"/>
      <c r="T2111" s="186"/>
      <c r="U2111" s="186"/>
    </row>
    <row r="2112" spans="2:21" x14ac:dyDescent="0.2">
      <c r="B2112" s="182"/>
      <c r="C2112" s="182"/>
      <c r="D2112" s="182"/>
      <c r="E2112" s="182"/>
      <c r="F2112" s="182"/>
      <c r="I2112" s="40"/>
      <c r="J2112" s="186"/>
      <c r="K2112" s="186"/>
      <c r="L2112" s="186"/>
      <c r="M2112" s="186"/>
      <c r="N2112" s="186"/>
      <c r="O2112" s="186"/>
      <c r="P2112" s="186"/>
      <c r="Q2112" s="182"/>
      <c r="R2112" s="182"/>
      <c r="S2112" s="182"/>
      <c r="T2112" s="186"/>
      <c r="U2112" s="186"/>
    </row>
    <row r="2113" spans="2:21" x14ac:dyDescent="0.2">
      <c r="B2113" s="182"/>
      <c r="C2113" s="182"/>
      <c r="D2113" s="182"/>
      <c r="E2113" s="182"/>
      <c r="F2113" s="182"/>
      <c r="I2113" s="40"/>
      <c r="J2113" s="186"/>
      <c r="K2113" s="186"/>
      <c r="L2113" s="186"/>
      <c r="M2113" s="186"/>
      <c r="N2113" s="186"/>
      <c r="O2113" s="186"/>
      <c r="P2113" s="186"/>
      <c r="Q2113" s="182"/>
      <c r="R2113" s="182"/>
      <c r="S2113" s="182"/>
      <c r="T2113" s="186"/>
      <c r="U2113" s="186"/>
    </row>
    <row r="2114" spans="2:21" x14ac:dyDescent="0.2">
      <c r="B2114" s="182"/>
      <c r="C2114" s="182"/>
      <c r="D2114" s="182"/>
      <c r="E2114" s="182"/>
      <c r="F2114" s="182"/>
      <c r="I2114" s="40"/>
      <c r="J2114" s="186"/>
      <c r="K2114" s="186"/>
      <c r="L2114" s="186"/>
      <c r="M2114" s="186"/>
      <c r="N2114" s="186"/>
      <c r="O2114" s="186"/>
      <c r="P2114" s="186"/>
      <c r="Q2114" s="182"/>
      <c r="R2114" s="182"/>
      <c r="S2114" s="182"/>
      <c r="T2114" s="186"/>
      <c r="U2114" s="186"/>
    </row>
    <row r="2115" spans="2:21" x14ac:dyDescent="0.2">
      <c r="B2115" s="182"/>
      <c r="C2115" s="182"/>
      <c r="D2115" s="182"/>
      <c r="E2115" s="182"/>
      <c r="F2115" s="182"/>
      <c r="I2115" s="40"/>
      <c r="J2115" s="186"/>
      <c r="K2115" s="186"/>
      <c r="L2115" s="186"/>
      <c r="M2115" s="186"/>
      <c r="N2115" s="186"/>
      <c r="O2115" s="186"/>
      <c r="P2115" s="186"/>
      <c r="Q2115" s="182"/>
      <c r="R2115" s="182"/>
      <c r="S2115" s="182"/>
      <c r="T2115" s="186"/>
      <c r="U2115" s="186"/>
    </row>
    <row r="2116" spans="2:21" x14ac:dyDescent="0.2">
      <c r="B2116" s="182"/>
      <c r="C2116" s="182"/>
      <c r="D2116" s="182"/>
      <c r="E2116" s="182"/>
      <c r="F2116" s="182"/>
      <c r="I2116" s="40"/>
      <c r="J2116" s="186"/>
      <c r="K2116" s="186"/>
      <c r="L2116" s="186"/>
      <c r="M2116" s="186"/>
      <c r="N2116" s="186"/>
      <c r="O2116" s="186"/>
      <c r="P2116" s="186"/>
      <c r="Q2116" s="182"/>
      <c r="R2116" s="182"/>
      <c r="S2116" s="182"/>
      <c r="T2116" s="186"/>
      <c r="U2116" s="186"/>
    </row>
    <row r="2117" spans="2:21" x14ac:dyDescent="0.2">
      <c r="B2117" s="182"/>
      <c r="C2117" s="182"/>
      <c r="D2117" s="182"/>
      <c r="E2117" s="182"/>
      <c r="F2117" s="182"/>
      <c r="I2117" s="40"/>
      <c r="J2117" s="186"/>
      <c r="K2117" s="186"/>
      <c r="L2117" s="186"/>
      <c r="M2117" s="186"/>
      <c r="N2117" s="186"/>
      <c r="O2117" s="186"/>
      <c r="P2117" s="186"/>
      <c r="Q2117" s="182"/>
      <c r="R2117" s="182"/>
      <c r="S2117" s="182"/>
      <c r="T2117" s="186"/>
      <c r="U2117" s="186"/>
    </row>
    <row r="2118" spans="2:21" x14ac:dyDescent="0.2">
      <c r="B2118" s="182"/>
      <c r="C2118" s="182"/>
      <c r="D2118" s="182"/>
      <c r="E2118" s="182"/>
      <c r="F2118" s="182"/>
      <c r="I2118" s="40"/>
      <c r="J2118" s="186"/>
      <c r="K2118" s="186"/>
      <c r="L2118" s="186"/>
      <c r="M2118" s="186"/>
      <c r="N2118" s="186"/>
      <c r="O2118" s="186"/>
      <c r="P2118" s="186"/>
      <c r="Q2118" s="182"/>
      <c r="R2118" s="182"/>
      <c r="S2118" s="182"/>
      <c r="T2118" s="186"/>
      <c r="U2118" s="186"/>
    </row>
    <row r="2119" spans="2:21" x14ac:dyDescent="0.2">
      <c r="B2119" s="182"/>
      <c r="C2119" s="182"/>
      <c r="D2119" s="182"/>
      <c r="E2119" s="182"/>
      <c r="F2119" s="182"/>
      <c r="I2119" s="40"/>
      <c r="J2119" s="186"/>
      <c r="K2119" s="186"/>
      <c r="L2119" s="186"/>
      <c r="M2119" s="186"/>
      <c r="N2119" s="186"/>
      <c r="O2119" s="186"/>
      <c r="P2119" s="186"/>
      <c r="Q2119" s="182"/>
      <c r="R2119" s="182"/>
      <c r="S2119" s="182"/>
      <c r="T2119" s="186"/>
      <c r="U2119" s="186"/>
    </row>
    <row r="2120" spans="2:21" x14ac:dyDescent="0.2">
      <c r="B2120" s="182"/>
      <c r="C2120" s="182"/>
      <c r="D2120" s="182"/>
      <c r="E2120" s="182"/>
      <c r="F2120" s="182"/>
      <c r="I2120" s="40"/>
      <c r="J2120" s="186"/>
      <c r="K2120" s="186"/>
      <c r="L2120" s="186"/>
      <c r="M2120" s="186"/>
      <c r="N2120" s="186"/>
      <c r="O2120" s="186"/>
      <c r="P2120" s="186"/>
      <c r="Q2120" s="182"/>
      <c r="R2120" s="182"/>
      <c r="S2120" s="182"/>
      <c r="T2120" s="186"/>
      <c r="U2120" s="186"/>
    </row>
    <row r="2121" spans="2:21" x14ac:dyDescent="0.2">
      <c r="B2121" s="182"/>
      <c r="C2121" s="182"/>
      <c r="D2121" s="182"/>
      <c r="E2121" s="182"/>
      <c r="F2121" s="182"/>
      <c r="I2121" s="40"/>
      <c r="J2121" s="186"/>
      <c r="K2121" s="186"/>
      <c r="L2121" s="186"/>
      <c r="M2121" s="186"/>
      <c r="N2121" s="186"/>
      <c r="O2121" s="186"/>
      <c r="P2121" s="186"/>
      <c r="Q2121" s="182"/>
      <c r="R2121" s="182"/>
      <c r="S2121" s="182"/>
      <c r="T2121" s="186"/>
      <c r="U2121" s="186"/>
    </row>
    <row r="2122" spans="2:21" x14ac:dyDescent="0.2">
      <c r="B2122" s="182"/>
      <c r="C2122" s="182"/>
      <c r="D2122" s="182"/>
      <c r="E2122" s="182"/>
      <c r="F2122" s="182"/>
      <c r="I2122" s="40"/>
      <c r="J2122" s="186"/>
      <c r="K2122" s="186"/>
      <c r="L2122" s="186"/>
      <c r="M2122" s="186"/>
      <c r="N2122" s="186"/>
      <c r="O2122" s="186"/>
      <c r="P2122" s="186"/>
      <c r="Q2122" s="182"/>
      <c r="R2122" s="182"/>
      <c r="S2122" s="182"/>
      <c r="T2122" s="186"/>
      <c r="U2122" s="186"/>
    </row>
    <row r="2123" spans="2:21" x14ac:dyDescent="0.2">
      <c r="B2123" s="182"/>
      <c r="C2123" s="182"/>
      <c r="D2123" s="182"/>
      <c r="E2123" s="182"/>
      <c r="F2123" s="182"/>
      <c r="I2123" s="40"/>
      <c r="J2123" s="186"/>
      <c r="K2123" s="186"/>
      <c r="L2123" s="186"/>
      <c r="M2123" s="186"/>
      <c r="N2123" s="186"/>
      <c r="O2123" s="186"/>
      <c r="P2123" s="186"/>
      <c r="Q2123" s="182"/>
      <c r="R2123" s="182"/>
      <c r="S2123" s="182"/>
      <c r="T2123" s="186"/>
      <c r="U2123" s="186"/>
    </row>
    <row r="2124" spans="2:21" x14ac:dyDescent="0.2">
      <c r="B2124" s="182"/>
      <c r="C2124" s="182"/>
      <c r="D2124" s="182"/>
      <c r="E2124" s="182"/>
      <c r="F2124" s="182"/>
      <c r="I2124" s="40"/>
      <c r="J2124" s="186"/>
      <c r="K2124" s="186"/>
      <c r="L2124" s="186"/>
      <c r="M2124" s="186"/>
      <c r="N2124" s="186"/>
      <c r="O2124" s="186"/>
      <c r="P2124" s="186"/>
      <c r="Q2124" s="182"/>
      <c r="R2124" s="182"/>
      <c r="S2124" s="182"/>
      <c r="T2124" s="186"/>
      <c r="U2124" s="186"/>
    </row>
    <row r="2125" spans="2:21" x14ac:dyDescent="0.2">
      <c r="B2125" s="182"/>
      <c r="C2125" s="182"/>
      <c r="D2125" s="182"/>
      <c r="E2125" s="182"/>
      <c r="F2125" s="182"/>
      <c r="I2125" s="40"/>
      <c r="J2125" s="186"/>
      <c r="K2125" s="186"/>
      <c r="L2125" s="186"/>
      <c r="M2125" s="186"/>
      <c r="N2125" s="186"/>
      <c r="O2125" s="186"/>
      <c r="P2125" s="186"/>
      <c r="Q2125" s="182"/>
      <c r="R2125" s="182"/>
      <c r="S2125" s="182"/>
      <c r="T2125" s="186"/>
      <c r="U2125" s="186"/>
    </row>
    <row r="2126" spans="2:21" x14ac:dyDescent="0.2">
      <c r="B2126" s="182"/>
      <c r="C2126" s="182"/>
      <c r="D2126" s="182"/>
      <c r="E2126" s="182"/>
      <c r="F2126" s="182"/>
      <c r="I2126" s="40"/>
      <c r="J2126" s="186"/>
      <c r="K2126" s="186"/>
      <c r="L2126" s="186"/>
      <c r="M2126" s="186"/>
      <c r="N2126" s="186"/>
      <c r="O2126" s="186"/>
      <c r="P2126" s="186"/>
      <c r="Q2126" s="182"/>
      <c r="R2126" s="182"/>
      <c r="S2126" s="182"/>
      <c r="T2126" s="186"/>
      <c r="U2126" s="186"/>
    </row>
    <row r="2127" spans="2:21" x14ac:dyDescent="0.2">
      <c r="B2127" s="182"/>
      <c r="C2127" s="182"/>
      <c r="D2127" s="182"/>
      <c r="E2127" s="182"/>
      <c r="F2127" s="182"/>
      <c r="I2127" s="40"/>
      <c r="J2127" s="186"/>
      <c r="K2127" s="186"/>
      <c r="L2127" s="186"/>
      <c r="M2127" s="186"/>
      <c r="N2127" s="186"/>
      <c r="O2127" s="186"/>
      <c r="P2127" s="186"/>
      <c r="Q2127" s="182"/>
      <c r="R2127" s="182"/>
      <c r="S2127" s="182"/>
      <c r="T2127" s="186"/>
      <c r="U2127" s="186"/>
    </row>
    <row r="2128" spans="2:21" x14ac:dyDescent="0.2">
      <c r="B2128" s="182"/>
      <c r="C2128" s="182"/>
      <c r="D2128" s="182"/>
      <c r="E2128" s="182"/>
      <c r="F2128" s="182"/>
      <c r="I2128" s="40"/>
      <c r="J2128" s="186"/>
      <c r="K2128" s="186"/>
      <c r="L2128" s="186"/>
      <c r="M2128" s="186"/>
      <c r="N2128" s="186"/>
      <c r="O2128" s="186"/>
      <c r="P2128" s="186"/>
      <c r="Q2128" s="182"/>
      <c r="R2128" s="182"/>
      <c r="S2128" s="182"/>
      <c r="T2128" s="186"/>
      <c r="U2128" s="186"/>
    </row>
    <row r="2129" spans="2:21" x14ac:dyDescent="0.2">
      <c r="B2129" s="182"/>
      <c r="C2129" s="182"/>
      <c r="D2129" s="182"/>
      <c r="E2129" s="182"/>
      <c r="F2129" s="182"/>
      <c r="I2129" s="40"/>
      <c r="J2129" s="186"/>
      <c r="K2129" s="186"/>
      <c r="L2129" s="186"/>
      <c r="M2129" s="186"/>
      <c r="N2129" s="186"/>
      <c r="O2129" s="186"/>
      <c r="P2129" s="186"/>
      <c r="Q2129" s="182"/>
      <c r="R2129" s="182"/>
      <c r="S2129" s="182"/>
      <c r="T2129" s="186"/>
      <c r="U2129" s="186"/>
    </row>
    <row r="2130" spans="2:21" x14ac:dyDescent="0.2">
      <c r="B2130" s="182"/>
      <c r="C2130" s="182"/>
      <c r="D2130" s="182"/>
      <c r="E2130" s="182"/>
      <c r="F2130" s="182"/>
      <c r="I2130" s="40"/>
      <c r="J2130" s="186"/>
      <c r="K2130" s="186"/>
      <c r="L2130" s="186"/>
      <c r="M2130" s="186"/>
      <c r="N2130" s="186"/>
      <c r="O2130" s="186"/>
      <c r="P2130" s="186"/>
      <c r="Q2130" s="182"/>
      <c r="R2130" s="182"/>
      <c r="S2130" s="182"/>
      <c r="T2130" s="186"/>
      <c r="U2130" s="186"/>
    </row>
    <row r="2131" spans="2:21" x14ac:dyDescent="0.2">
      <c r="B2131" s="182"/>
      <c r="C2131" s="182"/>
      <c r="D2131" s="182"/>
      <c r="E2131" s="182"/>
      <c r="F2131" s="182"/>
      <c r="I2131" s="40"/>
      <c r="J2131" s="186"/>
      <c r="K2131" s="186"/>
      <c r="L2131" s="186"/>
      <c r="M2131" s="186"/>
      <c r="N2131" s="186"/>
      <c r="O2131" s="186"/>
      <c r="P2131" s="186"/>
      <c r="Q2131" s="182"/>
      <c r="R2131" s="182"/>
      <c r="S2131" s="182"/>
      <c r="T2131" s="186"/>
      <c r="U2131" s="186"/>
    </row>
    <row r="2132" spans="2:21" x14ac:dyDescent="0.2">
      <c r="B2132" s="182"/>
      <c r="C2132" s="182"/>
      <c r="D2132" s="182"/>
      <c r="E2132" s="182"/>
      <c r="F2132" s="182"/>
      <c r="I2132" s="40"/>
      <c r="J2132" s="186"/>
      <c r="K2132" s="186"/>
      <c r="L2132" s="186"/>
      <c r="M2132" s="186"/>
      <c r="N2132" s="186"/>
      <c r="O2132" s="186"/>
      <c r="P2132" s="186"/>
      <c r="Q2132" s="182"/>
      <c r="R2132" s="182"/>
      <c r="S2132" s="182"/>
      <c r="T2132" s="186"/>
      <c r="U2132" s="186"/>
    </row>
    <row r="2133" spans="2:21" x14ac:dyDescent="0.2">
      <c r="B2133" s="182"/>
      <c r="C2133" s="182"/>
      <c r="D2133" s="182"/>
      <c r="E2133" s="182"/>
      <c r="F2133" s="182"/>
      <c r="I2133" s="40"/>
      <c r="J2133" s="186"/>
      <c r="K2133" s="186"/>
      <c r="L2133" s="186"/>
      <c r="M2133" s="186"/>
      <c r="N2133" s="186"/>
      <c r="O2133" s="186"/>
      <c r="P2133" s="186"/>
      <c r="Q2133" s="182"/>
      <c r="R2133" s="182"/>
      <c r="S2133" s="182"/>
      <c r="T2133" s="186"/>
      <c r="U2133" s="186"/>
    </row>
    <row r="2134" spans="2:21" x14ac:dyDescent="0.2">
      <c r="B2134" s="182"/>
      <c r="C2134" s="182"/>
      <c r="D2134" s="182"/>
      <c r="E2134" s="182"/>
      <c r="F2134" s="182"/>
      <c r="I2134" s="40"/>
      <c r="J2134" s="186"/>
      <c r="K2134" s="186"/>
      <c r="L2134" s="186"/>
      <c r="M2134" s="186"/>
      <c r="N2134" s="186"/>
      <c r="O2134" s="186"/>
      <c r="P2134" s="186"/>
      <c r="Q2134" s="182"/>
      <c r="R2134" s="182"/>
      <c r="S2134" s="182"/>
      <c r="T2134" s="186"/>
      <c r="U2134" s="186"/>
    </row>
    <row r="2135" spans="2:21" x14ac:dyDescent="0.2">
      <c r="B2135" s="182"/>
      <c r="C2135" s="182"/>
      <c r="D2135" s="182"/>
      <c r="E2135" s="182"/>
      <c r="F2135" s="182"/>
      <c r="I2135" s="40"/>
      <c r="J2135" s="186"/>
      <c r="K2135" s="186"/>
      <c r="L2135" s="186"/>
      <c r="M2135" s="186"/>
      <c r="N2135" s="186"/>
      <c r="O2135" s="186"/>
      <c r="P2135" s="186"/>
      <c r="Q2135" s="182"/>
      <c r="R2135" s="182"/>
      <c r="S2135" s="182"/>
      <c r="T2135" s="186"/>
      <c r="U2135" s="186"/>
    </row>
    <row r="2136" spans="2:21" x14ac:dyDescent="0.2">
      <c r="B2136" s="182"/>
      <c r="C2136" s="182"/>
      <c r="D2136" s="182"/>
      <c r="E2136" s="182"/>
      <c r="F2136" s="182"/>
      <c r="I2136" s="40"/>
      <c r="J2136" s="186"/>
      <c r="K2136" s="186"/>
      <c r="L2136" s="186"/>
      <c r="M2136" s="186"/>
      <c r="N2136" s="186"/>
      <c r="O2136" s="186"/>
      <c r="P2136" s="186"/>
      <c r="Q2136" s="182"/>
      <c r="R2136" s="182"/>
      <c r="S2136" s="182"/>
      <c r="T2136" s="186"/>
      <c r="U2136" s="186"/>
    </row>
    <row r="2137" spans="2:21" x14ac:dyDescent="0.2">
      <c r="B2137" s="182"/>
      <c r="C2137" s="182"/>
      <c r="D2137" s="182"/>
      <c r="E2137" s="182"/>
      <c r="F2137" s="182"/>
      <c r="I2137" s="40"/>
      <c r="J2137" s="186"/>
      <c r="K2137" s="186"/>
      <c r="L2137" s="186"/>
      <c r="M2137" s="186"/>
      <c r="N2137" s="186"/>
      <c r="O2137" s="186"/>
      <c r="P2137" s="186"/>
      <c r="Q2137" s="182"/>
      <c r="R2137" s="182"/>
      <c r="S2137" s="182"/>
      <c r="T2137" s="186"/>
      <c r="U2137" s="186"/>
    </row>
    <row r="2138" spans="2:21" x14ac:dyDescent="0.2">
      <c r="B2138" s="182"/>
      <c r="C2138" s="182"/>
      <c r="D2138" s="182"/>
      <c r="E2138" s="182"/>
      <c r="F2138" s="182"/>
      <c r="I2138" s="40"/>
      <c r="J2138" s="186"/>
      <c r="K2138" s="186"/>
      <c r="L2138" s="186"/>
      <c r="M2138" s="186"/>
      <c r="N2138" s="186"/>
      <c r="O2138" s="186"/>
      <c r="P2138" s="186"/>
      <c r="Q2138" s="182"/>
      <c r="R2138" s="182"/>
      <c r="S2138" s="182"/>
      <c r="T2138" s="186"/>
      <c r="U2138" s="186"/>
    </row>
    <row r="2139" spans="2:21" x14ac:dyDescent="0.2">
      <c r="B2139" s="182"/>
      <c r="C2139" s="182"/>
      <c r="D2139" s="182"/>
      <c r="E2139" s="182"/>
      <c r="F2139" s="182"/>
      <c r="I2139" s="40"/>
      <c r="J2139" s="186"/>
      <c r="K2139" s="186"/>
      <c r="L2139" s="186"/>
      <c r="M2139" s="186"/>
      <c r="N2139" s="186"/>
      <c r="O2139" s="186"/>
      <c r="P2139" s="186"/>
      <c r="Q2139" s="182"/>
      <c r="R2139" s="182"/>
      <c r="S2139" s="182"/>
      <c r="T2139" s="186"/>
      <c r="U2139" s="186"/>
    </row>
    <row r="2140" spans="2:21" x14ac:dyDescent="0.2">
      <c r="B2140" s="182"/>
      <c r="C2140" s="182"/>
      <c r="D2140" s="182"/>
      <c r="E2140" s="182"/>
      <c r="F2140" s="182"/>
      <c r="I2140" s="40"/>
      <c r="J2140" s="186"/>
      <c r="K2140" s="186"/>
      <c r="L2140" s="186"/>
      <c r="M2140" s="186"/>
      <c r="N2140" s="186"/>
      <c r="O2140" s="186"/>
      <c r="P2140" s="186"/>
      <c r="Q2140" s="182"/>
      <c r="R2140" s="182"/>
      <c r="S2140" s="182"/>
      <c r="T2140" s="186"/>
      <c r="U2140" s="186"/>
    </row>
    <row r="2141" spans="2:21" x14ac:dyDescent="0.2">
      <c r="B2141" s="182"/>
      <c r="C2141" s="182"/>
      <c r="D2141" s="182"/>
      <c r="E2141" s="182"/>
      <c r="F2141" s="182"/>
      <c r="I2141" s="40"/>
      <c r="J2141" s="186"/>
      <c r="K2141" s="186"/>
      <c r="L2141" s="186"/>
      <c r="M2141" s="186"/>
      <c r="N2141" s="186"/>
      <c r="O2141" s="186"/>
      <c r="P2141" s="186"/>
      <c r="Q2141" s="182"/>
      <c r="R2141" s="182"/>
      <c r="S2141" s="182"/>
      <c r="T2141" s="186"/>
      <c r="U2141" s="186"/>
    </row>
    <row r="2142" spans="2:21" x14ac:dyDescent="0.2">
      <c r="B2142" s="182"/>
      <c r="C2142" s="182"/>
      <c r="D2142" s="182"/>
      <c r="E2142" s="182"/>
      <c r="F2142" s="182"/>
      <c r="I2142" s="40"/>
      <c r="J2142" s="186"/>
      <c r="K2142" s="186"/>
      <c r="L2142" s="186"/>
      <c r="M2142" s="186"/>
      <c r="N2142" s="186"/>
      <c r="O2142" s="186"/>
      <c r="P2142" s="186"/>
      <c r="Q2142" s="182"/>
      <c r="R2142" s="182"/>
      <c r="S2142" s="182"/>
      <c r="T2142" s="186"/>
      <c r="U2142" s="186"/>
    </row>
    <row r="2143" spans="2:21" x14ac:dyDescent="0.2">
      <c r="B2143" s="182"/>
      <c r="C2143" s="182"/>
      <c r="D2143" s="182"/>
      <c r="E2143" s="182"/>
      <c r="F2143" s="182"/>
      <c r="I2143" s="40"/>
      <c r="J2143" s="186"/>
      <c r="K2143" s="186"/>
      <c r="L2143" s="186"/>
      <c r="M2143" s="186"/>
      <c r="N2143" s="186"/>
      <c r="O2143" s="186"/>
      <c r="P2143" s="186"/>
      <c r="Q2143" s="182"/>
      <c r="R2143" s="182"/>
      <c r="S2143" s="182"/>
      <c r="T2143" s="186"/>
      <c r="U2143" s="186"/>
    </row>
    <row r="2144" spans="2:21" x14ac:dyDescent="0.2">
      <c r="B2144" s="182"/>
      <c r="C2144" s="182"/>
      <c r="D2144" s="182"/>
      <c r="E2144" s="182"/>
      <c r="F2144" s="182"/>
      <c r="I2144" s="40"/>
      <c r="J2144" s="186"/>
      <c r="K2144" s="186"/>
      <c r="L2144" s="186"/>
      <c r="M2144" s="186"/>
      <c r="N2144" s="186"/>
      <c r="O2144" s="186"/>
      <c r="P2144" s="186"/>
      <c r="Q2144" s="182"/>
      <c r="R2144" s="182"/>
      <c r="S2144" s="182"/>
      <c r="T2144" s="186"/>
      <c r="U2144" s="186"/>
    </row>
    <row r="2145" spans="2:21" x14ac:dyDescent="0.2">
      <c r="B2145" s="182"/>
      <c r="C2145" s="182"/>
      <c r="D2145" s="182"/>
      <c r="E2145" s="182"/>
      <c r="F2145" s="182"/>
      <c r="I2145" s="40"/>
      <c r="J2145" s="186"/>
      <c r="K2145" s="186"/>
      <c r="L2145" s="186"/>
      <c r="M2145" s="186"/>
      <c r="N2145" s="186"/>
      <c r="O2145" s="186"/>
      <c r="P2145" s="186"/>
      <c r="Q2145" s="182"/>
      <c r="R2145" s="182"/>
      <c r="S2145" s="182"/>
      <c r="T2145" s="186"/>
      <c r="U2145" s="186"/>
    </row>
    <row r="2146" spans="2:21" x14ac:dyDescent="0.2">
      <c r="B2146" s="182"/>
      <c r="C2146" s="182"/>
      <c r="D2146" s="182"/>
      <c r="E2146" s="182"/>
      <c r="F2146" s="182"/>
      <c r="I2146" s="40"/>
      <c r="J2146" s="186"/>
      <c r="K2146" s="186"/>
      <c r="L2146" s="186"/>
      <c r="M2146" s="186"/>
      <c r="N2146" s="186"/>
      <c r="O2146" s="186"/>
      <c r="P2146" s="186"/>
      <c r="Q2146" s="182"/>
      <c r="R2146" s="182"/>
      <c r="S2146" s="182"/>
      <c r="T2146" s="186"/>
      <c r="U2146" s="186"/>
    </row>
    <row r="2147" spans="2:21" x14ac:dyDescent="0.2">
      <c r="B2147" s="182"/>
      <c r="C2147" s="182"/>
      <c r="D2147" s="182"/>
      <c r="E2147" s="182"/>
      <c r="F2147" s="182"/>
      <c r="I2147" s="40"/>
      <c r="J2147" s="186"/>
      <c r="K2147" s="186"/>
      <c r="L2147" s="186"/>
      <c r="M2147" s="186"/>
      <c r="N2147" s="186"/>
      <c r="O2147" s="186"/>
      <c r="P2147" s="186"/>
      <c r="Q2147" s="182"/>
      <c r="R2147" s="182"/>
      <c r="S2147" s="182"/>
      <c r="T2147" s="186"/>
      <c r="U2147" s="186"/>
    </row>
    <row r="2148" spans="2:21" x14ac:dyDescent="0.2">
      <c r="B2148" s="182"/>
      <c r="C2148" s="182"/>
      <c r="D2148" s="182"/>
      <c r="E2148" s="182"/>
      <c r="F2148" s="182"/>
      <c r="I2148" s="40"/>
      <c r="J2148" s="186"/>
      <c r="K2148" s="186"/>
      <c r="L2148" s="186"/>
      <c r="M2148" s="186"/>
      <c r="N2148" s="186"/>
      <c r="O2148" s="186"/>
      <c r="P2148" s="186"/>
      <c r="Q2148" s="182"/>
      <c r="R2148" s="182"/>
      <c r="S2148" s="182"/>
      <c r="T2148" s="186"/>
      <c r="U2148" s="186"/>
    </row>
    <row r="2149" spans="2:21" x14ac:dyDescent="0.2">
      <c r="B2149" s="182"/>
      <c r="C2149" s="182"/>
      <c r="D2149" s="182"/>
      <c r="E2149" s="182"/>
      <c r="F2149" s="182"/>
      <c r="I2149" s="40"/>
      <c r="J2149" s="186"/>
      <c r="K2149" s="186"/>
      <c r="L2149" s="186"/>
      <c r="M2149" s="186"/>
      <c r="N2149" s="186"/>
      <c r="O2149" s="186"/>
      <c r="P2149" s="186"/>
      <c r="Q2149" s="182"/>
      <c r="R2149" s="182"/>
      <c r="S2149" s="182"/>
      <c r="T2149" s="186"/>
      <c r="U2149" s="186"/>
    </row>
    <row r="2150" spans="2:21" x14ac:dyDescent="0.2">
      <c r="B2150" s="182"/>
      <c r="C2150" s="182"/>
      <c r="D2150" s="182"/>
      <c r="E2150" s="182"/>
      <c r="F2150" s="182"/>
      <c r="I2150" s="40"/>
      <c r="J2150" s="186"/>
      <c r="K2150" s="186"/>
      <c r="L2150" s="186"/>
      <c r="M2150" s="186"/>
      <c r="N2150" s="186"/>
      <c r="O2150" s="186"/>
      <c r="P2150" s="186"/>
      <c r="Q2150" s="182"/>
      <c r="R2150" s="182"/>
      <c r="S2150" s="182"/>
      <c r="T2150" s="186"/>
      <c r="U2150" s="186"/>
    </row>
    <row r="2151" spans="2:21" x14ac:dyDescent="0.2">
      <c r="B2151" s="182"/>
      <c r="C2151" s="182"/>
      <c r="D2151" s="182"/>
      <c r="E2151" s="182"/>
      <c r="F2151" s="182"/>
      <c r="I2151" s="40"/>
      <c r="J2151" s="186"/>
      <c r="K2151" s="186"/>
      <c r="L2151" s="186"/>
      <c r="M2151" s="186"/>
      <c r="N2151" s="186"/>
      <c r="O2151" s="186"/>
      <c r="P2151" s="186"/>
      <c r="Q2151" s="182"/>
      <c r="R2151" s="182"/>
      <c r="S2151" s="182"/>
      <c r="T2151" s="186"/>
      <c r="U2151" s="186"/>
    </row>
    <row r="2152" spans="2:21" x14ac:dyDescent="0.2">
      <c r="B2152" s="182"/>
      <c r="C2152" s="182"/>
      <c r="D2152" s="182"/>
      <c r="E2152" s="182"/>
      <c r="F2152" s="182"/>
      <c r="I2152" s="40"/>
      <c r="J2152" s="186"/>
      <c r="K2152" s="186"/>
      <c r="L2152" s="186"/>
      <c r="M2152" s="186"/>
      <c r="N2152" s="186"/>
      <c r="O2152" s="186"/>
      <c r="P2152" s="186"/>
      <c r="Q2152" s="182"/>
      <c r="R2152" s="182"/>
      <c r="S2152" s="182"/>
      <c r="T2152" s="186"/>
      <c r="U2152" s="186"/>
    </row>
    <row r="2153" spans="2:21" x14ac:dyDescent="0.2">
      <c r="B2153" s="182"/>
      <c r="C2153" s="182"/>
      <c r="D2153" s="182"/>
      <c r="E2153" s="182"/>
      <c r="F2153" s="182"/>
      <c r="I2153" s="40"/>
      <c r="J2153" s="186"/>
      <c r="K2153" s="186"/>
      <c r="L2153" s="186"/>
      <c r="M2153" s="186"/>
      <c r="N2153" s="186"/>
      <c r="O2153" s="186"/>
      <c r="P2153" s="186"/>
      <c r="Q2153" s="182"/>
      <c r="R2153" s="182"/>
      <c r="S2153" s="182"/>
      <c r="T2153" s="186"/>
      <c r="U2153" s="186"/>
    </row>
    <row r="2154" spans="2:21" x14ac:dyDescent="0.2">
      <c r="B2154" s="182"/>
      <c r="C2154" s="182"/>
      <c r="D2154" s="182"/>
      <c r="E2154" s="182"/>
      <c r="F2154" s="182"/>
      <c r="I2154" s="40"/>
      <c r="J2154" s="186"/>
      <c r="K2154" s="186"/>
      <c r="L2154" s="186"/>
      <c r="M2154" s="186"/>
      <c r="N2154" s="186"/>
      <c r="O2154" s="186"/>
      <c r="P2154" s="186"/>
      <c r="Q2154" s="182"/>
      <c r="R2154" s="182"/>
      <c r="S2154" s="182"/>
      <c r="T2154" s="186"/>
      <c r="U2154" s="186"/>
    </row>
    <row r="2155" spans="2:21" x14ac:dyDescent="0.2">
      <c r="B2155" s="182"/>
      <c r="C2155" s="182"/>
      <c r="D2155" s="182"/>
      <c r="E2155" s="182"/>
      <c r="F2155" s="182"/>
      <c r="I2155" s="40"/>
      <c r="J2155" s="186"/>
      <c r="K2155" s="186"/>
      <c r="L2155" s="186"/>
      <c r="M2155" s="186"/>
      <c r="N2155" s="186"/>
      <c r="O2155" s="186"/>
      <c r="P2155" s="186"/>
      <c r="Q2155" s="182"/>
      <c r="R2155" s="182"/>
      <c r="S2155" s="182"/>
      <c r="T2155" s="186"/>
      <c r="U2155" s="186"/>
    </row>
    <row r="2156" spans="2:21" x14ac:dyDescent="0.2">
      <c r="B2156" s="182"/>
      <c r="C2156" s="182"/>
      <c r="D2156" s="182"/>
      <c r="E2156" s="182"/>
      <c r="F2156" s="182"/>
      <c r="I2156" s="40"/>
      <c r="J2156" s="186"/>
      <c r="K2156" s="186"/>
      <c r="L2156" s="186"/>
      <c r="M2156" s="186"/>
      <c r="N2156" s="186"/>
      <c r="O2156" s="186"/>
      <c r="P2156" s="186"/>
      <c r="Q2156" s="182"/>
      <c r="R2156" s="182"/>
      <c r="S2156" s="182"/>
      <c r="T2156" s="186"/>
      <c r="U2156" s="186"/>
    </row>
    <row r="2157" spans="2:21" x14ac:dyDescent="0.2">
      <c r="B2157" s="182"/>
      <c r="C2157" s="182"/>
      <c r="D2157" s="182"/>
      <c r="E2157" s="182"/>
      <c r="F2157" s="182"/>
      <c r="I2157" s="40"/>
      <c r="J2157" s="186"/>
      <c r="K2157" s="186"/>
      <c r="L2157" s="186"/>
      <c r="M2157" s="186"/>
      <c r="N2157" s="186"/>
      <c r="O2157" s="186"/>
      <c r="P2157" s="186"/>
      <c r="Q2157" s="182"/>
      <c r="R2157" s="182"/>
      <c r="S2157" s="182"/>
      <c r="T2157" s="186"/>
      <c r="U2157" s="186"/>
    </row>
    <row r="2158" spans="2:21" x14ac:dyDescent="0.2">
      <c r="B2158" s="182"/>
      <c r="C2158" s="182"/>
      <c r="D2158" s="182"/>
      <c r="E2158" s="182"/>
      <c r="F2158" s="182"/>
      <c r="I2158" s="40"/>
      <c r="J2158" s="186"/>
      <c r="K2158" s="186"/>
      <c r="L2158" s="186"/>
      <c r="M2158" s="186"/>
      <c r="N2158" s="186"/>
      <c r="O2158" s="186"/>
      <c r="P2158" s="186"/>
      <c r="Q2158" s="182"/>
      <c r="R2158" s="182"/>
      <c r="S2158" s="182"/>
      <c r="T2158" s="186"/>
      <c r="U2158" s="186"/>
    </row>
    <row r="2159" spans="2:21" x14ac:dyDescent="0.2">
      <c r="B2159" s="182"/>
      <c r="C2159" s="182"/>
      <c r="D2159" s="182"/>
      <c r="E2159" s="182"/>
      <c r="F2159" s="182"/>
      <c r="I2159" s="40"/>
      <c r="J2159" s="186"/>
      <c r="K2159" s="186"/>
      <c r="L2159" s="186"/>
      <c r="M2159" s="186"/>
      <c r="N2159" s="186"/>
      <c r="O2159" s="186"/>
      <c r="P2159" s="186"/>
      <c r="Q2159" s="182"/>
      <c r="R2159" s="182"/>
      <c r="S2159" s="182"/>
      <c r="T2159" s="186"/>
      <c r="U2159" s="186"/>
    </row>
    <row r="2160" spans="2:21" x14ac:dyDescent="0.2">
      <c r="B2160" s="182"/>
      <c r="C2160" s="182"/>
      <c r="D2160" s="182"/>
      <c r="E2160" s="182"/>
      <c r="F2160" s="182"/>
      <c r="I2160" s="40"/>
      <c r="J2160" s="186"/>
      <c r="K2160" s="186"/>
      <c r="L2160" s="186"/>
      <c r="M2160" s="186"/>
      <c r="N2160" s="186"/>
      <c r="O2160" s="186"/>
      <c r="P2160" s="186"/>
      <c r="Q2160" s="182"/>
      <c r="R2160" s="182"/>
      <c r="S2160" s="182"/>
      <c r="T2160" s="186"/>
      <c r="U2160" s="186"/>
    </row>
    <row r="2161" spans="2:21" x14ac:dyDescent="0.2">
      <c r="B2161" s="182"/>
      <c r="C2161" s="182"/>
      <c r="D2161" s="182"/>
      <c r="E2161" s="182"/>
      <c r="F2161" s="182"/>
      <c r="I2161" s="40"/>
      <c r="J2161" s="186"/>
      <c r="K2161" s="186"/>
      <c r="L2161" s="186"/>
      <c r="M2161" s="186"/>
      <c r="N2161" s="186"/>
      <c r="O2161" s="186"/>
      <c r="P2161" s="186"/>
      <c r="Q2161" s="182"/>
      <c r="R2161" s="182"/>
      <c r="S2161" s="182"/>
      <c r="T2161" s="186"/>
      <c r="U2161" s="186"/>
    </row>
    <row r="2162" spans="2:21" x14ac:dyDescent="0.2">
      <c r="B2162" s="182"/>
      <c r="C2162" s="182"/>
      <c r="D2162" s="182"/>
      <c r="E2162" s="182"/>
      <c r="F2162" s="182"/>
      <c r="I2162" s="40"/>
      <c r="J2162" s="186"/>
      <c r="K2162" s="186"/>
      <c r="L2162" s="186"/>
      <c r="M2162" s="186"/>
      <c r="N2162" s="186"/>
      <c r="O2162" s="186"/>
      <c r="P2162" s="186"/>
      <c r="Q2162" s="182"/>
      <c r="R2162" s="182"/>
      <c r="S2162" s="182"/>
      <c r="T2162" s="186"/>
      <c r="U2162" s="186"/>
    </row>
    <row r="2163" spans="2:21" x14ac:dyDescent="0.2">
      <c r="B2163" s="182"/>
      <c r="C2163" s="182"/>
      <c r="D2163" s="182"/>
      <c r="E2163" s="182"/>
      <c r="F2163" s="182"/>
      <c r="I2163" s="40"/>
      <c r="J2163" s="186"/>
      <c r="K2163" s="186"/>
      <c r="L2163" s="186"/>
      <c r="M2163" s="186"/>
      <c r="N2163" s="186"/>
      <c r="O2163" s="186"/>
      <c r="P2163" s="186"/>
      <c r="Q2163" s="182"/>
      <c r="R2163" s="182"/>
      <c r="S2163" s="182"/>
      <c r="T2163" s="186"/>
      <c r="U2163" s="186"/>
    </row>
    <row r="2164" spans="2:21" x14ac:dyDescent="0.2">
      <c r="B2164" s="182"/>
      <c r="C2164" s="182"/>
      <c r="D2164" s="182"/>
      <c r="E2164" s="182"/>
      <c r="F2164" s="182"/>
      <c r="I2164" s="40"/>
      <c r="J2164" s="186"/>
      <c r="K2164" s="186"/>
      <c r="L2164" s="186"/>
      <c r="M2164" s="186"/>
      <c r="N2164" s="186"/>
      <c r="O2164" s="186"/>
      <c r="P2164" s="186"/>
      <c r="Q2164" s="182"/>
      <c r="R2164" s="182"/>
      <c r="S2164" s="182"/>
      <c r="T2164" s="186"/>
      <c r="U2164" s="186"/>
    </row>
    <row r="2165" spans="2:21" x14ac:dyDescent="0.2">
      <c r="B2165" s="182"/>
      <c r="C2165" s="182"/>
      <c r="D2165" s="182"/>
      <c r="E2165" s="182"/>
      <c r="F2165" s="182"/>
      <c r="I2165" s="40"/>
      <c r="J2165" s="186"/>
      <c r="K2165" s="186"/>
      <c r="L2165" s="186"/>
      <c r="M2165" s="186"/>
      <c r="N2165" s="186"/>
      <c r="O2165" s="186"/>
      <c r="P2165" s="186"/>
      <c r="Q2165" s="182"/>
      <c r="R2165" s="182"/>
      <c r="S2165" s="182"/>
      <c r="T2165" s="186"/>
      <c r="U2165" s="186"/>
    </row>
    <row r="2166" spans="2:21" x14ac:dyDescent="0.2">
      <c r="B2166" s="182"/>
      <c r="C2166" s="182"/>
      <c r="D2166" s="182"/>
      <c r="E2166" s="182"/>
      <c r="F2166" s="182"/>
      <c r="I2166" s="40"/>
      <c r="J2166" s="186"/>
      <c r="K2166" s="186"/>
      <c r="L2166" s="186"/>
      <c r="M2166" s="186"/>
      <c r="N2166" s="186"/>
      <c r="O2166" s="186"/>
      <c r="P2166" s="186"/>
      <c r="Q2166" s="182"/>
      <c r="R2166" s="182"/>
      <c r="S2166" s="182"/>
      <c r="T2166" s="186"/>
      <c r="U2166" s="186"/>
    </row>
    <row r="2167" spans="2:21" x14ac:dyDescent="0.2">
      <c r="B2167" s="182"/>
      <c r="C2167" s="182"/>
      <c r="D2167" s="182"/>
      <c r="E2167" s="182"/>
      <c r="F2167" s="182"/>
      <c r="I2167" s="40"/>
      <c r="J2167" s="186"/>
      <c r="K2167" s="186"/>
      <c r="L2167" s="186"/>
      <c r="M2167" s="186"/>
      <c r="N2167" s="186"/>
      <c r="O2167" s="186"/>
      <c r="P2167" s="186"/>
      <c r="Q2167" s="182"/>
      <c r="R2167" s="182"/>
      <c r="S2167" s="182"/>
      <c r="T2167" s="186"/>
      <c r="U2167" s="186"/>
    </row>
    <row r="2168" spans="2:21" x14ac:dyDescent="0.2">
      <c r="B2168" s="182"/>
      <c r="C2168" s="182"/>
      <c r="D2168" s="182"/>
      <c r="E2168" s="182"/>
      <c r="F2168" s="182"/>
      <c r="I2168" s="40"/>
      <c r="J2168" s="186"/>
      <c r="K2168" s="186"/>
      <c r="L2168" s="186"/>
      <c r="M2168" s="186"/>
      <c r="N2168" s="186"/>
      <c r="O2168" s="186"/>
      <c r="P2168" s="186"/>
      <c r="Q2168" s="182"/>
      <c r="R2168" s="182"/>
      <c r="S2168" s="182"/>
      <c r="T2168" s="186"/>
      <c r="U2168" s="186"/>
    </row>
    <row r="2169" spans="2:21" x14ac:dyDescent="0.2">
      <c r="B2169" s="182"/>
      <c r="C2169" s="182"/>
      <c r="D2169" s="182"/>
      <c r="E2169" s="182"/>
      <c r="F2169" s="182"/>
      <c r="I2169" s="40"/>
      <c r="J2169" s="186"/>
      <c r="K2169" s="186"/>
      <c r="L2169" s="186"/>
      <c r="M2169" s="186"/>
      <c r="N2169" s="186"/>
      <c r="O2169" s="186"/>
      <c r="P2169" s="186"/>
      <c r="Q2169" s="182"/>
      <c r="R2169" s="182"/>
      <c r="S2169" s="182"/>
      <c r="T2169" s="186"/>
      <c r="U2169" s="186"/>
    </row>
    <row r="2170" spans="2:21" x14ac:dyDescent="0.2">
      <c r="B2170" s="182"/>
      <c r="C2170" s="182"/>
      <c r="D2170" s="182"/>
      <c r="E2170" s="182"/>
      <c r="F2170" s="182"/>
      <c r="I2170" s="40"/>
      <c r="J2170" s="186"/>
      <c r="K2170" s="186"/>
      <c r="L2170" s="186"/>
      <c r="M2170" s="186"/>
      <c r="N2170" s="186"/>
      <c r="O2170" s="186"/>
      <c r="P2170" s="186"/>
      <c r="Q2170" s="182"/>
      <c r="R2170" s="182"/>
      <c r="S2170" s="182"/>
      <c r="T2170" s="186"/>
      <c r="U2170" s="186"/>
    </row>
    <row r="2171" spans="2:21" x14ac:dyDescent="0.2">
      <c r="B2171" s="182"/>
      <c r="C2171" s="182"/>
      <c r="D2171" s="182"/>
      <c r="E2171" s="182"/>
      <c r="F2171" s="182"/>
      <c r="I2171" s="40"/>
      <c r="J2171" s="186"/>
      <c r="K2171" s="186"/>
      <c r="L2171" s="186"/>
      <c r="M2171" s="186"/>
      <c r="N2171" s="186"/>
      <c r="O2171" s="186"/>
      <c r="P2171" s="186"/>
      <c r="Q2171" s="182"/>
      <c r="R2171" s="182"/>
      <c r="S2171" s="182"/>
      <c r="T2171" s="186"/>
      <c r="U2171" s="186"/>
    </row>
    <row r="2172" spans="2:21" x14ac:dyDescent="0.2">
      <c r="B2172" s="182"/>
      <c r="C2172" s="182"/>
      <c r="D2172" s="182"/>
      <c r="E2172" s="182"/>
      <c r="F2172" s="182"/>
      <c r="I2172" s="40"/>
      <c r="J2172" s="186"/>
      <c r="K2172" s="186"/>
      <c r="L2172" s="186"/>
      <c r="M2172" s="186"/>
      <c r="N2172" s="186"/>
      <c r="O2172" s="186"/>
      <c r="P2172" s="186"/>
      <c r="Q2172" s="182"/>
      <c r="R2172" s="182"/>
      <c r="S2172" s="182"/>
      <c r="T2172" s="186"/>
      <c r="U2172" s="186"/>
    </row>
    <row r="2173" spans="2:21" x14ac:dyDescent="0.2">
      <c r="B2173" s="182"/>
      <c r="C2173" s="182"/>
      <c r="D2173" s="182"/>
      <c r="E2173" s="182"/>
      <c r="F2173" s="182"/>
      <c r="I2173" s="40"/>
      <c r="J2173" s="186"/>
      <c r="K2173" s="186"/>
      <c r="L2173" s="186"/>
      <c r="M2173" s="186"/>
      <c r="N2173" s="186"/>
      <c r="O2173" s="186"/>
      <c r="P2173" s="186"/>
      <c r="Q2173" s="182"/>
      <c r="R2173" s="182"/>
      <c r="S2173" s="182"/>
      <c r="T2173" s="186"/>
      <c r="U2173" s="186"/>
    </row>
    <row r="2174" spans="2:21" x14ac:dyDescent="0.2">
      <c r="B2174" s="182"/>
      <c r="C2174" s="182"/>
      <c r="D2174" s="182"/>
      <c r="E2174" s="182"/>
      <c r="F2174" s="182"/>
      <c r="I2174" s="40"/>
      <c r="J2174" s="186"/>
      <c r="K2174" s="186"/>
      <c r="L2174" s="186"/>
      <c r="M2174" s="186"/>
      <c r="N2174" s="186"/>
      <c r="O2174" s="186"/>
      <c r="P2174" s="186"/>
      <c r="Q2174" s="182"/>
      <c r="R2174" s="182"/>
      <c r="S2174" s="182"/>
      <c r="T2174" s="186"/>
      <c r="U2174" s="186"/>
    </row>
    <row r="2175" spans="2:21" x14ac:dyDescent="0.2">
      <c r="B2175" s="182"/>
      <c r="C2175" s="182"/>
      <c r="D2175" s="182"/>
      <c r="E2175" s="182"/>
      <c r="F2175" s="182"/>
      <c r="I2175" s="40"/>
      <c r="J2175" s="186"/>
      <c r="K2175" s="186"/>
      <c r="L2175" s="186"/>
      <c r="M2175" s="186"/>
      <c r="N2175" s="186"/>
      <c r="O2175" s="186"/>
      <c r="P2175" s="186"/>
      <c r="Q2175" s="182"/>
      <c r="R2175" s="182"/>
      <c r="S2175" s="182"/>
      <c r="T2175" s="186"/>
      <c r="U2175" s="186"/>
    </row>
    <row r="2176" spans="2:21" x14ac:dyDescent="0.2">
      <c r="B2176" s="182"/>
      <c r="C2176" s="182"/>
      <c r="D2176" s="182"/>
      <c r="E2176" s="182"/>
      <c r="F2176" s="182"/>
      <c r="I2176" s="40"/>
      <c r="J2176" s="186"/>
      <c r="K2176" s="186"/>
      <c r="L2176" s="186"/>
      <c r="M2176" s="186"/>
      <c r="N2176" s="186"/>
      <c r="O2176" s="186"/>
      <c r="P2176" s="186"/>
      <c r="Q2176" s="182"/>
      <c r="R2176" s="182"/>
      <c r="S2176" s="182"/>
      <c r="T2176" s="186"/>
      <c r="U2176" s="186"/>
    </row>
    <row r="2177" spans="2:21" x14ac:dyDescent="0.2">
      <c r="B2177" s="182"/>
      <c r="C2177" s="182"/>
      <c r="D2177" s="182"/>
      <c r="E2177" s="182"/>
      <c r="F2177" s="182"/>
      <c r="I2177" s="40"/>
      <c r="J2177" s="186"/>
      <c r="K2177" s="186"/>
      <c r="L2177" s="186"/>
      <c r="M2177" s="186"/>
      <c r="N2177" s="186"/>
      <c r="O2177" s="186"/>
      <c r="P2177" s="186"/>
      <c r="Q2177" s="182"/>
      <c r="R2177" s="182"/>
      <c r="S2177" s="182"/>
      <c r="T2177" s="186"/>
      <c r="U2177" s="186"/>
    </row>
    <row r="2178" spans="2:21" x14ac:dyDescent="0.2">
      <c r="B2178" s="182"/>
      <c r="C2178" s="182"/>
      <c r="D2178" s="182"/>
      <c r="E2178" s="182"/>
      <c r="F2178" s="182"/>
      <c r="I2178" s="40"/>
      <c r="J2178" s="186"/>
      <c r="K2178" s="186"/>
      <c r="L2178" s="186"/>
      <c r="M2178" s="186"/>
      <c r="N2178" s="186"/>
      <c r="O2178" s="186"/>
      <c r="P2178" s="186"/>
      <c r="Q2178" s="182"/>
      <c r="R2178" s="182"/>
      <c r="S2178" s="182"/>
      <c r="T2178" s="186"/>
      <c r="U2178" s="186"/>
    </row>
    <row r="2179" spans="2:21" x14ac:dyDescent="0.2">
      <c r="B2179" s="182"/>
      <c r="C2179" s="182"/>
      <c r="D2179" s="182"/>
      <c r="E2179" s="182"/>
      <c r="F2179" s="182"/>
      <c r="I2179" s="40"/>
      <c r="J2179" s="186"/>
      <c r="K2179" s="186"/>
      <c r="L2179" s="186"/>
      <c r="M2179" s="186"/>
      <c r="N2179" s="186"/>
      <c r="O2179" s="186"/>
      <c r="P2179" s="186"/>
      <c r="Q2179" s="182"/>
      <c r="R2179" s="182"/>
      <c r="S2179" s="182"/>
      <c r="T2179" s="186"/>
      <c r="U2179" s="186"/>
    </row>
    <row r="2180" spans="2:21" x14ac:dyDescent="0.2">
      <c r="B2180" s="182"/>
      <c r="C2180" s="182"/>
      <c r="D2180" s="182"/>
      <c r="E2180" s="182"/>
      <c r="F2180" s="182"/>
      <c r="I2180" s="40"/>
      <c r="J2180" s="186"/>
      <c r="K2180" s="186"/>
      <c r="L2180" s="186"/>
      <c r="M2180" s="186"/>
      <c r="N2180" s="186"/>
      <c r="O2180" s="186"/>
      <c r="P2180" s="186"/>
      <c r="Q2180" s="182"/>
      <c r="R2180" s="182"/>
      <c r="S2180" s="182"/>
      <c r="T2180" s="186"/>
      <c r="U2180" s="186"/>
    </row>
    <row r="2181" spans="2:21" x14ac:dyDescent="0.2">
      <c r="B2181" s="182"/>
      <c r="C2181" s="182"/>
      <c r="D2181" s="182"/>
      <c r="E2181" s="182"/>
      <c r="F2181" s="182"/>
      <c r="I2181" s="40"/>
      <c r="J2181" s="186"/>
      <c r="K2181" s="186"/>
      <c r="L2181" s="186"/>
      <c r="M2181" s="186"/>
      <c r="N2181" s="186"/>
      <c r="O2181" s="186"/>
      <c r="P2181" s="186"/>
      <c r="Q2181" s="182"/>
      <c r="R2181" s="182"/>
      <c r="S2181" s="182"/>
      <c r="T2181" s="186"/>
      <c r="U2181" s="186"/>
    </row>
    <row r="2182" spans="2:21" x14ac:dyDescent="0.2">
      <c r="B2182" s="182"/>
      <c r="C2182" s="182"/>
      <c r="D2182" s="182"/>
      <c r="E2182" s="182"/>
      <c r="F2182" s="182"/>
      <c r="I2182" s="40"/>
      <c r="J2182" s="186"/>
      <c r="K2182" s="186"/>
      <c r="L2182" s="186"/>
      <c r="M2182" s="186"/>
      <c r="N2182" s="186"/>
      <c r="O2182" s="186"/>
      <c r="P2182" s="186"/>
      <c r="Q2182" s="182"/>
      <c r="R2182" s="182"/>
      <c r="S2182" s="182"/>
      <c r="T2182" s="186"/>
      <c r="U2182" s="186"/>
    </row>
    <row r="2183" spans="2:21" x14ac:dyDescent="0.2">
      <c r="B2183" s="182"/>
      <c r="C2183" s="182"/>
      <c r="D2183" s="182"/>
      <c r="E2183" s="182"/>
      <c r="F2183" s="182"/>
      <c r="I2183" s="40"/>
      <c r="J2183" s="186"/>
      <c r="K2183" s="186"/>
      <c r="L2183" s="186"/>
      <c r="M2183" s="186"/>
      <c r="N2183" s="186"/>
      <c r="O2183" s="186"/>
      <c r="P2183" s="186"/>
      <c r="Q2183" s="182"/>
      <c r="R2183" s="182"/>
      <c r="S2183" s="182"/>
      <c r="T2183" s="186"/>
      <c r="U2183" s="186"/>
    </row>
    <row r="2184" spans="2:21" x14ac:dyDescent="0.2">
      <c r="B2184" s="182"/>
      <c r="C2184" s="182"/>
      <c r="D2184" s="182"/>
      <c r="E2184" s="182"/>
      <c r="F2184" s="182"/>
      <c r="I2184" s="40"/>
      <c r="J2184" s="186"/>
      <c r="K2184" s="186"/>
      <c r="L2184" s="186"/>
      <c r="M2184" s="186"/>
      <c r="N2184" s="186"/>
      <c r="O2184" s="186"/>
      <c r="P2184" s="186"/>
      <c r="Q2184" s="182"/>
      <c r="R2184" s="182"/>
      <c r="S2184" s="182"/>
      <c r="T2184" s="186"/>
      <c r="U2184" s="186"/>
    </row>
    <row r="2185" spans="2:21" x14ac:dyDescent="0.2">
      <c r="B2185" s="182"/>
      <c r="C2185" s="182"/>
      <c r="D2185" s="182"/>
      <c r="E2185" s="182"/>
      <c r="F2185" s="182"/>
      <c r="I2185" s="40"/>
      <c r="J2185" s="186"/>
      <c r="K2185" s="186"/>
      <c r="L2185" s="186"/>
      <c r="M2185" s="186"/>
      <c r="N2185" s="186"/>
      <c r="O2185" s="186"/>
      <c r="P2185" s="186"/>
      <c r="Q2185" s="182"/>
      <c r="R2185" s="182"/>
      <c r="S2185" s="182"/>
      <c r="T2185" s="186"/>
      <c r="U2185" s="186"/>
    </row>
    <row r="2186" spans="2:21" x14ac:dyDescent="0.2">
      <c r="B2186" s="182"/>
      <c r="C2186" s="182"/>
      <c r="D2186" s="182"/>
      <c r="E2186" s="182"/>
      <c r="F2186" s="182"/>
      <c r="I2186" s="40"/>
      <c r="J2186" s="186"/>
      <c r="K2186" s="186"/>
      <c r="L2186" s="186"/>
      <c r="M2186" s="186"/>
      <c r="N2186" s="186"/>
      <c r="O2186" s="186"/>
      <c r="P2186" s="186"/>
      <c r="Q2186" s="182"/>
      <c r="R2186" s="182"/>
      <c r="S2186" s="182"/>
      <c r="T2186" s="186"/>
      <c r="U2186" s="186"/>
    </row>
    <row r="2187" spans="2:21" x14ac:dyDescent="0.2">
      <c r="B2187" s="182"/>
      <c r="C2187" s="182"/>
      <c r="D2187" s="182"/>
      <c r="E2187" s="182"/>
      <c r="F2187" s="182"/>
      <c r="I2187" s="40"/>
      <c r="J2187" s="186"/>
      <c r="K2187" s="186"/>
      <c r="L2187" s="186"/>
      <c r="M2187" s="186"/>
      <c r="N2187" s="186"/>
      <c r="O2187" s="186"/>
      <c r="P2187" s="186"/>
      <c r="Q2187" s="182"/>
      <c r="R2187" s="182"/>
      <c r="S2187" s="182"/>
      <c r="T2187" s="186"/>
      <c r="U2187" s="186"/>
    </row>
    <row r="2188" spans="2:21" x14ac:dyDescent="0.2">
      <c r="B2188" s="182"/>
      <c r="C2188" s="182"/>
      <c r="D2188" s="182"/>
      <c r="E2188" s="182"/>
      <c r="F2188" s="182"/>
      <c r="I2188" s="40"/>
      <c r="J2188" s="186"/>
      <c r="K2188" s="186"/>
      <c r="L2188" s="186"/>
      <c r="M2188" s="186"/>
      <c r="N2188" s="186"/>
      <c r="O2188" s="186"/>
      <c r="P2188" s="186"/>
      <c r="Q2188" s="182"/>
      <c r="R2188" s="182"/>
      <c r="S2188" s="182"/>
      <c r="T2188" s="186"/>
      <c r="U2188" s="186"/>
    </row>
    <row r="2189" spans="2:21" x14ac:dyDescent="0.2">
      <c r="B2189" s="182"/>
      <c r="C2189" s="182"/>
      <c r="D2189" s="182"/>
      <c r="E2189" s="182"/>
      <c r="F2189" s="182"/>
      <c r="I2189" s="40"/>
      <c r="J2189" s="186"/>
      <c r="K2189" s="186"/>
      <c r="L2189" s="186"/>
      <c r="M2189" s="186"/>
      <c r="N2189" s="186"/>
      <c r="O2189" s="186"/>
      <c r="P2189" s="186"/>
      <c r="Q2189" s="182"/>
      <c r="R2189" s="182"/>
      <c r="S2189" s="182"/>
      <c r="T2189" s="186"/>
      <c r="U2189" s="186"/>
    </row>
    <row r="2190" spans="2:21" x14ac:dyDescent="0.2">
      <c r="B2190" s="182"/>
      <c r="C2190" s="182"/>
      <c r="D2190" s="182"/>
      <c r="E2190" s="182"/>
      <c r="F2190" s="182"/>
      <c r="I2190" s="40"/>
      <c r="J2190" s="186"/>
      <c r="K2190" s="186"/>
      <c r="L2190" s="186"/>
      <c r="M2190" s="186"/>
      <c r="N2190" s="186"/>
      <c r="O2190" s="186"/>
      <c r="P2190" s="186"/>
      <c r="Q2190" s="182"/>
      <c r="R2190" s="182"/>
      <c r="S2190" s="182"/>
      <c r="T2190" s="186"/>
      <c r="U2190" s="186"/>
    </row>
    <row r="2191" spans="2:21" x14ac:dyDescent="0.2">
      <c r="B2191" s="182"/>
      <c r="C2191" s="182"/>
      <c r="D2191" s="182"/>
      <c r="E2191" s="182"/>
      <c r="F2191" s="182"/>
      <c r="I2191" s="40"/>
      <c r="J2191" s="186"/>
      <c r="K2191" s="186"/>
      <c r="L2191" s="186"/>
      <c r="M2191" s="186"/>
      <c r="N2191" s="186"/>
      <c r="O2191" s="186"/>
      <c r="P2191" s="186"/>
      <c r="Q2191" s="182"/>
      <c r="R2191" s="182"/>
      <c r="S2191" s="182"/>
      <c r="T2191" s="186"/>
      <c r="U2191" s="186"/>
    </row>
    <row r="2192" spans="2:21" x14ac:dyDescent="0.2">
      <c r="B2192" s="182"/>
      <c r="C2192" s="182"/>
      <c r="D2192" s="182"/>
      <c r="E2192" s="182"/>
      <c r="F2192" s="182"/>
      <c r="I2192" s="40"/>
      <c r="J2192" s="186"/>
      <c r="K2192" s="186"/>
      <c r="L2192" s="186"/>
      <c r="M2192" s="186"/>
      <c r="N2192" s="186"/>
      <c r="O2192" s="186"/>
      <c r="P2192" s="186"/>
      <c r="Q2192" s="182"/>
      <c r="R2192" s="182"/>
      <c r="S2192" s="182"/>
      <c r="T2192" s="186"/>
      <c r="U2192" s="186"/>
    </row>
    <row r="2193" spans="2:21" x14ac:dyDescent="0.2">
      <c r="B2193" s="182"/>
      <c r="C2193" s="182"/>
      <c r="D2193" s="182"/>
      <c r="E2193" s="182"/>
      <c r="F2193" s="182"/>
      <c r="I2193" s="40"/>
      <c r="J2193" s="186"/>
      <c r="K2193" s="186"/>
      <c r="L2193" s="186"/>
      <c r="M2193" s="186"/>
      <c r="N2193" s="186"/>
      <c r="O2193" s="186"/>
      <c r="P2193" s="186"/>
      <c r="Q2193" s="182"/>
      <c r="R2193" s="182"/>
      <c r="S2193" s="182"/>
      <c r="T2193" s="186"/>
      <c r="U2193" s="186"/>
    </row>
    <row r="2194" spans="2:21" x14ac:dyDescent="0.2">
      <c r="B2194" s="182"/>
      <c r="C2194" s="182"/>
      <c r="D2194" s="182"/>
      <c r="E2194" s="182"/>
      <c r="F2194" s="182"/>
      <c r="I2194" s="40"/>
      <c r="J2194" s="186"/>
      <c r="K2194" s="186"/>
      <c r="L2194" s="186"/>
      <c r="M2194" s="186"/>
      <c r="N2194" s="186"/>
      <c r="O2194" s="186"/>
      <c r="P2194" s="186"/>
      <c r="Q2194" s="182"/>
      <c r="R2194" s="182"/>
      <c r="S2194" s="182"/>
      <c r="T2194" s="186"/>
      <c r="U2194" s="186"/>
    </row>
    <row r="2195" spans="2:21" x14ac:dyDescent="0.2">
      <c r="B2195" s="182"/>
      <c r="C2195" s="182"/>
      <c r="D2195" s="182"/>
      <c r="E2195" s="182"/>
      <c r="F2195" s="182"/>
      <c r="I2195" s="40"/>
      <c r="J2195" s="186"/>
      <c r="K2195" s="186"/>
      <c r="L2195" s="186"/>
      <c r="M2195" s="186"/>
      <c r="N2195" s="186"/>
      <c r="O2195" s="186"/>
      <c r="P2195" s="186"/>
      <c r="Q2195" s="182"/>
      <c r="R2195" s="182"/>
      <c r="S2195" s="182"/>
      <c r="T2195" s="186"/>
      <c r="U2195" s="186"/>
    </row>
    <row r="2196" spans="2:21" x14ac:dyDescent="0.2">
      <c r="B2196" s="182"/>
      <c r="C2196" s="182"/>
      <c r="D2196" s="182"/>
      <c r="E2196" s="182"/>
      <c r="F2196" s="182"/>
      <c r="I2196" s="40"/>
      <c r="J2196" s="186"/>
      <c r="K2196" s="186"/>
      <c r="L2196" s="186"/>
      <c r="M2196" s="186"/>
      <c r="N2196" s="186"/>
      <c r="O2196" s="186"/>
      <c r="P2196" s="186"/>
      <c r="Q2196" s="182"/>
      <c r="R2196" s="182"/>
      <c r="S2196" s="182"/>
      <c r="T2196" s="186"/>
      <c r="U2196" s="186"/>
    </row>
    <row r="2197" spans="2:21" x14ac:dyDescent="0.2">
      <c r="B2197" s="182"/>
      <c r="C2197" s="182"/>
      <c r="D2197" s="182"/>
      <c r="E2197" s="182"/>
      <c r="F2197" s="182"/>
      <c r="I2197" s="40"/>
      <c r="J2197" s="186"/>
      <c r="K2197" s="186"/>
      <c r="L2197" s="186"/>
      <c r="M2197" s="186"/>
      <c r="N2197" s="186"/>
      <c r="O2197" s="186"/>
      <c r="P2197" s="186"/>
      <c r="Q2197" s="182"/>
      <c r="R2197" s="182"/>
      <c r="S2197" s="182"/>
      <c r="T2197" s="186"/>
      <c r="U2197" s="186"/>
    </row>
    <row r="2198" spans="2:21" x14ac:dyDescent="0.2">
      <c r="B2198" s="182"/>
      <c r="C2198" s="182"/>
      <c r="D2198" s="182"/>
      <c r="E2198" s="182"/>
      <c r="F2198" s="182"/>
      <c r="I2198" s="40"/>
      <c r="J2198" s="186"/>
      <c r="K2198" s="186"/>
      <c r="L2198" s="186"/>
      <c r="M2198" s="186"/>
      <c r="N2198" s="186"/>
      <c r="O2198" s="186"/>
      <c r="P2198" s="186"/>
      <c r="Q2198" s="182"/>
      <c r="R2198" s="182"/>
      <c r="S2198" s="182"/>
      <c r="T2198" s="186"/>
      <c r="U2198" s="186"/>
    </row>
    <row r="2199" spans="2:21" x14ac:dyDescent="0.2">
      <c r="B2199" s="182"/>
      <c r="C2199" s="182"/>
      <c r="D2199" s="182"/>
      <c r="E2199" s="182"/>
      <c r="F2199" s="182"/>
      <c r="I2199" s="40"/>
      <c r="J2199" s="186"/>
      <c r="K2199" s="186"/>
      <c r="L2199" s="186"/>
      <c r="M2199" s="186"/>
      <c r="N2199" s="186"/>
      <c r="O2199" s="186"/>
      <c r="P2199" s="186"/>
      <c r="Q2199" s="182"/>
      <c r="R2199" s="182"/>
      <c r="S2199" s="182"/>
      <c r="T2199" s="186"/>
      <c r="U2199" s="186"/>
    </row>
    <row r="2200" spans="2:21" x14ac:dyDescent="0.2">
      <c r="B2200" s="182"/>
      <c r="C2200" s="182"/>
      <c r="D2200" s="182"/>
      <c r="E2200" s="182"/>
      <c r="F2200" s="182"/>
      <c r="I2200" s="40"/>
      <c r="J2200" s="186"/>
      <c r="K2200" s="186"/>
      <c r="L2200" s="186"/>
      <c r="M2200" s="186"/>
      <c r="N2200" s="186"/>
      <c r="O2200" s="186"/>
      <c r="P2200" s="186"/>
      <c r="Q2200" s="182"/>
      <c r="R2200" s="182"/>
      <c r="S2200" s="182"/>
      <c r="T2200" s="186"/>
      <c r="U2200" s="186"/>
    </row>
    <row r="2201" spans="2:21" x14ac:dyDescent="0.2">
      <c r="B2201" s="182"/>
      <c r="C2201" s="182"/>
      <c r="D2201" s="182"/>
      <c r="E2201" s="182"/>
      <c r="F2201" s="182"/>
      <c r="I2201" s="40"/>
      <c r="J2201" s="186"/>
      <c r="K2201" s="186"/>
      <c r="L2201" s="186"/>
      <c r="M2201" s="186"/>
      <c r="N2201" s="186"/>
      <c r="O2201" s="186"/>
      <c r="P2201" s="186"/>
      <c r="Q2201" s="182"/>
      <c r="R2201" s="182"/>
      <c r="S2201" s="182"/>
      <c r="T2201" s="186"/>
      <c r="U2201" s="186"/>
    </row>
    <row r="2202" spans="2:21" x14ac:dyDescent="0.2">
      <c r="B2202" s="182"/>
      <c r="C2202" s="182"/>
      <c r="D2202" s="182"/>
      <c r="E2202" s="182"/>
      <c r="F2202" s="182"/>
      <c r="I2202" s="40"/>
      <c r="J2202" s="186"/>
      <c r="K2202" s="186"/>
      <c r="L2202" s="186"/>
      <c r="M2202" s="186"/>
      <c r="N2202" s="186"/>
      <c r="O2202" s="186"/>
      <c r="P2202" s="186"/>
      <c r="Q2202" s="182"/>
      <c r="R2202" s="182"/>
      <c r="S2202" s="182"/>
      <c r="T2202" s="186"/>
      <c r="U2202" s="186"/>
    </row>
    <row r="2203" spans="2:21" x14ac:dyDescent="0.2">
      <c r="B2203" s="182"/>
      <c r="C2203" s="182"/>
      <c r="D2203" s="182"/>
      <c r="E2203" s="182"/>
      <c r="F2203" s="182"/>
      <c r="I2203" s="40"/>
      <c r="J2203" s="186"/>
      <c r="K2203" s="186"/>
      <c r="L2203" s="186"/>
      <c r="M2203" s="186"/>
      <c r="N2203" s="186"/>
      <c r="O2203" s="186"/>
      <c r="P2203" s="186"/>
      <c r="Q2203" s="182"/>
      <c r="R2203" s="182"/>
      <c r="S2203" s="182"/>
      <c r="T2203" s="186"/>
      <c r="U2203" s="186"/>
    </row>
    <row r="2204" spans="2:21" x14ac:dyDescent="0.2">
      <c r="B2204" s="182"/>
      <c r="C2204" s="182"/>
      <c r="D2204" s="182"/>
      <c r="E2204" s="182"/>
      <c r="F2204" s="182"/>
      <c r="I2204" s="40"/>
      <c r="J2204" s="186"/>
      <c r="K2204" s="186"/>
      <c r="L2204" s="186"/>
      <c r="M2204" s="186"/>
      <c r="N2204" s="186"/>
      <c r="O2204" s="186"/>
      <c r="P2204" s="186"/>
      <c r="Q2204" s="182"/>
      <c r="R2204" s="182"/>
      <c r="S2204" s="182"/>
      <c r="T2204" s="186"/>
      <c r="U2204" s="186"/>
    </row>
    <row r="2205" spans="2:21" x14ac:dyDescent="0.2">
      <c r="B2205" s="182"/>
      <c r="C2205" s="182"/>
      <c r="D2205" s="182"/>
      <c r="E2205" s="182"/>
      <c r="F2205" s="182"/>
      <c r="I2205" s="40"/>
      <c r="J2205" s="186"/>
      <c r="K2205" s="186"/>
      <c r="L2205" s="186"/>
      <c r="M2205" s="186"/>
      <c r="N2205" s="186"/>
      <c r="O2205" s="186"/>
      <c r="P2205" s="186"/>
      <c r="Q2205" s="182"/>
      <c r="R2205" s="182"/>
      <c r="S2205" s="182"/>
      <c r="T2205" s="186"/>
      <c r="U2205" s="186"/>
    </row>
    <row r="2206" spans="2:21" x14ac:dyDescent="0.2">
      <c r="B2206" s="182"/>
      <c r="C2206" s="182"/>
      <c r="D2206" s="182"/>
      <c r="E2206" s="182"/>
      <c r="F2206" s="182"/>
      <c r="I2206" s="40"/>
      <c r="J2206" s="186"/>
      <c r="K2206" s="186"/>
      <c r="L2206" s="186"/>
      <c r="M2206" s="186"/>
      <c r="N2206" s="186"/>
      <c r="O2206" s="186"/>
      <c r="P2206" s="186"/>
      <c r="Q2206" s="182"/>
      <c r="R2206" s="182"/>
      <c r="S2206" s="182"/>
      <c r="T2206" s="186"/>
      <c r="U2206" s="186"/>
    </row>
    <row r="2207" spans="2:21" x14ac:dyDescent="0.2">
      <c r="B2207" s="182"/>
      <c r="C2207" s="182"/>
      <c r="D2207" s="182"/>
      <c r="E2207" s="182"/>
      <c r="F2207" s="182"/>
      <c r="I2207" s="40"/>
      <c r="J2207" s="186"/>
      <c r="K2207" s="186"/>
      <c r="L2207" s="186"/>
      <c r="M2207" s="186"/>
      <c r="N2207" s="186"/>
      <c r="O2207" s="186"/>
      <c r="P2207" s="186"/>
      <c r="Q2207" s="182"/>
      <c r="R2207" s="182"/>
      <c r="S2207" s="182"/>
      <c r="T2207" s="186"/>
      <c r="U2207" s="186"/>
    </row>
    <row r="2208" spans="2:21" x14ac:dyDescent="0.2">
      <c r="B2208" s="182"/>
      <c r="C2208" s="182"/>
      <c r="D2208" s="182"/>
      <c r="E2208" s="182"/>
      <c r="F2208" s="182"/>
      <c r="I2208" s="40"/>
      <c r="J2208" s="186"/>
      <c r="K2208" s="186"/>
      <c r="L2208" s="186"/>
      <c r="M2208" s="186"/>
      <c r="N2208" s="186"/>
      <c r="O2208" s="186"/>
      <c r="P2208" s="186"/>
      <c r="Q2208" s="182"/>
      <c r="R2208" s="182"/>
      <c r="S2208" s="182"/>
      <c r="T2208" s="186"/>
      <c r="U2208" s="186"/>
    </row>
    <row r="2209" spans="2:21" x14ac:dyDescent="0.2">
      <c r="B2209" s="182"/>
      <c r="C2209" s="182"/>
      <c r="D2209" s="182"/>
      <c r="E2209" s="182"/>
      <c r="F2209" s="182"/>
      <c r="I2209" s="40"/>
      <c r="J2209" s="186"/>
      <c r="K2209" s="186"/>
      <c r="L2209" s="186"/>
      <c r="M2209" s="186"/>
      <c r="N2209" s="186"/>
      <c r="O2209" s="186"/>
      <c r="P2209" s="186"/>
      <c r="Q2209" s="182"/>
      <c r="R2209" s="182"/>
      <c r="S2209" s="182"/>
      <c r="T2209" s="186"/>
      <c r="U2209" s="186"/>
    </row>
    <row r="2210" spans="2:21" x14ac:dyDescent="0.2">
      <c r="B2210" s="182"/>
      <c r="C2210" s="182"/>
      <c r="D2210" s="182"/>
      <c r="E2210" s="182"/>
      <c r="F2210" s="182"/>
      <c r="I2210" s="40"/>
      <c r="J2210" s="186"/>
      <c r="K2210" s="186"/>
      <c r="L2210" s="186"/>
      <c r="M2210" s="186"/>
      <c r="N2210" s="186"/>
      <c r="O2210" s="186"/>
      <c r="P2210" s="186"/>
      <c r="Q2210" s="182"/>
      <c r="R2210" s="182"/>
      <c r="S2210" s="182"/>
      <c r="T2210" s="186"/>
      <c r="U2210" s="186"/>
    </row>
    <row r="2211" spans="2:21" x14ac:dyDescent="0.2">
      <c r="B2211" s="182"/>
      <c r="C2211" s="182"/>
      <c r="D2211" s="182"/>
      <c r="E2211" s="182"/>
      <c r="F2211" s="182"/>
      <c r="I2211" s="40"/>
      <c r="J2211" s="186"/>
      <c r="K2211" s="186"/>
      <c r="L2211" s="186"/>
      <c r="M2211" s="186"/>
      <c r="N2211" s="186"/>
      <c r="O2211" s="186"/>
      <c r="P2211" s="186"/>
      <c r="Q2211" s="182"/>
      <c r="R2211" s="182"/>
      <c r="S2211" s="182"/>
      <c r="T2211" s="186"/>
      <c r="U2211" s="186"/>
    </row>
    <row r="2212" spans="2:21" x14ac:dyDescent="0.2">
      <c r="B2212" s="182"/>
      <c r="C2212" s="182"/>
      <c r="D2212" s="182"/>
      <c r="E2212" s="182"/>
      <c r="F2212" s="182"/>
      <c r="I2212" s="40"/>
      <c r="J2212" s="186"/>
      <c r="K2212" s="186"/>
      <c r="L2212" s="186"/>
      <c r="M2212" s="186"/>
      <c r="N2212" s="186"/>
      <c r="O2212" s="186"/>
      <c r="P2212" s="186"/>
      <c r="Q2212" s="182"/>
      <c r="R2212" s="182"/>
      <c r="S2212" s="182"/>
      <c r="T2212" s="186"/>
      <c r="U2212" s="186"/>
    </row>
    <row r="2213" spans="2:21" x14ac:dyDescent="0.2">
      <c r="B2213" s="182"/>
      <c r="C2213" s="182"/>
      <c r="D2213" s="182"/>
      <c r="E2213" s="182"/>
      <c r="F2213" s="182"/>
      <c r="I2213" s="40"/>
      <c r="J2213" s="186"/>
      <c r="K2213" s="186"/>
      <c r="L2213" s="186"/>
      <c r="M2213" s="186"/>
      <c r="N2213" s="186"/>
      <c r="O2213" s="186"/>
      <c r="P2213" s="186"/>
      <c r="Q2213" s="182"/>
      <c r="R2213" s="182"/>
      <c r="S2213" s="182"/>
      <c r="T2213" s="186"/>
      <c r="U2213" s="186"/>
    </row>
    <row r="2214" spans="2:21" x14ac:dyDescent="0.2">
      <c r="B2214" s="182"/>
      <c r="C2214" s="182"/>
      <c r="D2214" s="182"/>
      <c r="E2214" s="182"/>
      <c r="F2214" s="182"/>
      <c r="I2214" s="40"/>
      <c r="J2214" s="186"/>
      <c r="K2214" s="186"/>
      <c r="L2214" s="186"/>
      <c r="M2214" s="186"/>
      <c r="N2214" s="186"/>
      <c r="O2214" s="186"/>
      <c r="P2214" s="186"/>
      <c r="Q2214" s="182"/>
      <c r="R2214" s="182"/>
      <c r="S2214" s="182"/>
      <c r="T2214" s="186"/>
      <c r="U2214" s="186"/>
    </row>
    <row r="2215" spans="2:21" x14ac:dyDescent="0.2">
      <c r="B2215" s="182"/>
      <c r="C2215" s="182"/>
      <c r="D2215" s="182"/>
      <c r="E2215" s="182"/>
      <c r="F2215" s="182"/>
      <c r="I2215" s="40"/>
      <c r="J2215" s="186"/>
      <c r="K2215" s="186"/>
      <c r="L2215" s="186"/>
      <c r="M2215" s="186"/>
      <c r="N2215" s="186"/>
      <c r="O2215" s="186"/>
      <c r="P2215" s="186"/>
      <c r="Q2215" s="182"/>
      <c r="R2215" s="182"/>
      <c r="S2215" s="182"/>
      <c r="T2215" s="186"/>
      <c r="U2215" s="186"/>
    </row>
    <row r="2216" spans="2:21" x14ac:dyDescent="0.2">
      <c r="B2216" s="182"/>
      <c r="C2216" s="182"/>
      <c r="D2216" s="182"/>
      <c r="E2216" s="182"/>
      <c r="F2216" s="182"/>
      <c r="I2216" s="40"/>
      <c r="J2216" s="186"/>
      <c r="K2216" s="186"/>
      <c r="L2216" s="186"/>
      <c r="M2216" s="186"/>
      <c r="N2216" s="186"/>
      <c r="O2216" s="186"/>
      <c r="P2216" s="186"/>
      <c r="Q2216" s="182"/>
      <c r="R2216" s="182"/>
      <c r="S2216" s="182"/>
      <c r="T2216" s="186"/>
      <c r="U2216" s="186"/>
    </row>
    <row r="2217" spans="2:21" x14ac:dyDescent="0.2">
      <c r="B2217" s="182"/>
      <c r="C2217" s="182"/>
      <c r="D2217" s="182"/>
      <c r="E2217" s="182"/>
      <c r="F2217" s="182"/>
      <c r="I2217" s="40"/>
      <c r="J2217" s="186"/>
      <c r="K2217" s="186"/>
      <c r="L2217" s="186"/>
      <c r="M2217" s="186"/>
      <c r="N2217" s="186"/>
      <c r="O2217" s="186"/>
      <c r="P2217" s="186"/>
      <c r="Q2217" s="182"/>
      <c r="R2217" s="182"/>
      <c r="S2217" s="182"/>
      <c r="T2217" s="186"/>
      <c r="U2217" s="186"/>
    </row>
    <row r="2218" spans="2:21" x14ac:dyDescent="0.2">
      <c r="B2218" s="182"/>
      <c r="C2218" s="182"/>
      <c r="D2218" s="182"/>
      <c r="E2218" s="182"/>
      <c r="F2218" s="182"/>
      <c r="I2218" s="40"/>
      <c r="J2218" s="186"/>
      <c r="K2218" s="186"/>
      <c r="L2218" s="186"/>
      <c r="M2218" s="186"/>
      <c r="N2218" s="186"/>
      <c r="O2218" s="186"/>
      <c r="P2218" s="186"/>
      <c r="Q2218" s="182"/>
      <c r="R2218" s="182"/>
      <c r="S2218" s="182"/>
      <c r="T2218" s="186"/>
      <c r="U2218" s="186"/>
    </row>
    <row r="2219" spans="2:21" x14ac:dyDescent="0.2">
      <c r="B2219" s="182"/>
      <c r="C2219" s="182"/>
      <c r="D2219" s="182"/>
      <c r="E2219" s="182"/>
      <c r="F2219" s="182"/>
      <c r="I2219" s="40"/>
      <c r="J2219" s="186"/>
      <c r="K2219" s="186"/>
      <c r="L2219" s="186"/>
      <c r="M2219" s="186"/>
      <c r="N2219" s="186"/>
      <c r="O2219" s="186"/>
      <c r="P2219" s="186"/>
      <c r="Q2219" s="182"/>
      <c r="R2219" s="182"/>
      <c r="S2219" s="182"/>
      <c r="T2219" s="186"/>
      <c r="U2219" s="186"/>
    </row>
    <row r="2220" spans="2:21" x14ac:dyDescent="0.2">
      <c r="B2220" s="182"/>
      <c r="C2220" s="182"/>
      <c r="D2220" s="182"/>
      <c r="E2220" s="182"/>
      <c r="F2220" s="182"/>
      <c r="I2220" s="40"/>
      <c r="J2220" s="186"/>
      <c r="K2220" s="186"/>
      <c r="L2220" s="186"/>
      <c r="M2220" s="186"/>
      <c r="N2220" s="186"/>
      <c r="O2220" s="186"/>
      <c r="P2220" s="186"/>
      <c r="Q2220" s="182"/>
      <c r="R2220" s="182"/>
      <c r="S2220" s="182"/>
      <c r="T2220" s="186"/>
      <c r="U2220" s="186"/>
    </row>
    <row r="2221" spans="2:21" x14ac:dyDescent="0.2">
      <c r="B2221" s="182"/>
      <c r="C2221" s="182"/>
      <c r="D2221" s="182"/>
      <c r="E2221" s="182"/>
      <c r="F2221" s="182"/>
      <c r="I2221" s="40"/>
      <c r="J2221" s="186"/>
      <c r="K2221" s="186"/>
      <c r="L2221" s="186"/>
      <c r="M2221" s="186"/>
      <c r="N2221" s="186"/>
      <c r="O2221" s="186"/>
      <c r="P2221" s="186"/>
      <c r="Q2221" s="182"/>
      <c r="R2221" s="182"/>
      <c r="S2221" s="182"/>
      <c r="T2221" s="186"/>
      <c r="U2221" s="186"/>
    </row>
    <row r="2222" spans="2:21" x14ac:dyDescent="0.2">
      <c r="B2222" s="182"/>
      <c r="C2222" s="182"/>
      <c r="D2222" s="182"/>
      <c r="E2222" s="182"/>
      <c r="F2222" s="182"/>
      <c r="I2222" s="40"/>
      <c r="J2222" s="186"/>
      <c r="K2222" s="186"/>
      <c r="L2222" s="186"/>
      <c r="M2222" s="186"/>
      <c r="N2222" s="186"/>
      <c r="O2222" s="186"/>
      <c r="P2222" s="186"/>
      <c r="Q2222" s="182"/>
      <c r="R2222" s="182"/>
      <c r="S2222" s="182"/>
      <c r="T2222" s="186"/>
      <c r="U2222" s="186"/>
    </row>
    <row r="2223" spans="2:21" x14ac:dyDescent="0.2">
      <c r="B2223" s="182"/>
      <c r="C2223" s="182"/>
      <c r="D2223" s="182"/>
      <c r="E2223" s="182"/>
      <c r="F2223" s="182"/>
      <c r="I2223" s="40"/>
      <c r="J2223" s="186"/>
      <c r="K2223" s="186"/>
      <c r="L2223" s="186"/>
      <c r="M2223" s="186"/>
      <c r="N2223" s="186"/>
      <c r="O2223" s="186"/>
      <c r="P2223" s="186"/>
      <c r="Q2223" s="182"/>
      <c r="R2223" s="182"/>
      <c r="S2223" s="182"/>
      <c r="T2223" s="186"/>
      <c r="U2223" s="186"/>
    </row>
    <row r="2224" spans="2:21" x14ac:dyDescent="0.2">
      <c r="B2224" s="182"/>
      <c r="C2224" s="182"/>
      <c r="D2224" s="182"/>
      <c r="E2224" s="182"/>
      <c r="F2224" s="182"/>
      <c r="I2224" s="40"/>
      <c r="J2224" s="186"/>
      <c r="K2224" s="186"/>
      <c r="L2224" s="186"/>
      <c r="M2224" s="186"/>
      <c r="N2224" s="186"/>
      <c r="O2224" s="186"/>
      <c r="P2224" s="186"/>
      <c r="Q2224" s="182"/>
      <c r="R2224" s="182"/>
      <c r="S2224" s="182"/>
      <c r="T2224" s="186"/>
      <c r="U2224" s="186"/>
    </row>
    <row r="2225" spans="2:21" x14ac:dyDescent="0.2">
      <c r="B2225" s="182"/>
      <c r="C2225" s="182"/>
      <c r="D2225" s="182"/>
      <c r="E2225" s="182"/>
      <c r="F2225" s="182"/>
      <c r="I2225" s="40"/>
      <c r="J2225" s="186"/>
      <c r="K2225" s="186"/>
      <c r="L2225" s="186"/>
      <c r="M2225" s="186"/>
      <c r="N2225" s="186"/>
      <c r="O2225" s="186"/>
      <c r="P2225" s="186"/>
      <c r="Q2225" s="182"/>
      <c r="R2225" s="182"/>
      <c r="S2225" s="182"/>
      <c r="T2225" s="186"/>
      <c r="U2225" s="186"/>
    </row>
    <row r="2226" spans="2:21" x14ac:dyDescent="0.2">
      <c r="B2226" s="182"/>
      <c r="C2226" s="182"/>
      <c r="D2226" s="182"/>
      <c r="E2226" s="182"/>
      <c r="F2226" s="182"/>
      <c r="I2226" s="40"/>
      <c r="J2226" s="186"/>
      <c r="K2226" s="186"/>
      <c r="L2226" s="186"/>
      <c r="M2226" s="186"/>
      <c r="N2226" s="186"/>
      <c r="O2226" s="186"/>
      <c r="P2226" s="186"/>
      <c r="Q2226" s="182"/>
      <c r="R2226" s="182"/>
      <c r="S2226" s="182"/>
      <c r="T2226" s="186"/>
      <c r="U2226" s="186"/>
    </row>
    <row r="2227" spans="2:21" x14ac:dyDescent="0.2">
      <c r="B2227" s="182"/>
      <c r="C2227" s="182"/>
      <c r="D2227" s="182"/>
      <c r="E2227" s="182"/>
      <c r="F2227" s="182"/>
      <c r="I2227" s="40"/>
      <c r="J2227" s="186"/>
      <c r="K2227" s="186"/>
      <c r="L2227" s="186"/>
      <c r="M2227" s="186"/>
      <c r="N2227" s="186"/>
      <c r="O2227" s="186"/>
      <c r="P2227" s="186"/>
      <c r="Q2227" s="182"/>
      <c r="R2227" s="182"/>
      <c r="S2227" s="182"/>
      <c r="T2227" s="186"/>
      <c r="U2227" s="186"/>
    </row>
    <row r="2228" spans="2:21" x14ac:dyDescent="0.2">
      <c r="B2228" s="182"/>
      <c r="C2228" s="182"/>
      <c r="D2228" s="182"/>
      <c r="E2228" s="182"/>
      <c r="F2228" s="182"/>
      <c r="I2228" s="40"/>
      <c r="J2228" s="186"/>
      <c r="K2228" s="186"/>
      <c r="L2228" s="186"/>
      <c r="M2228" s="186"/>
      <c r="N2228" s="186"/>
      <c r="O2228" s="186"/>
      <c r="P2228" s="186"/>
      <c r="Q2228" s="182"/>
      <c r="R2228" s="182"/>
      <c r="S2228" s="182"/>
      <c r="T2228" s="186"/>
      <c r="U2228" s="186"/>
    </row>
    <row r="2229" spans="2:21" x14ac:dyDescent="0.2">
      <c r="B2229" s="182"/>
      <c r="C2229" s="182"/>
      <c r="D2229" s="182"/>
      <c r="E2229" s="182"/>
      <c r="F2229" s="182"/>
      <c r="I2229" s="40"/>
      <c r="J2229" s="186"/>
      <c r="K2229" s="186"/>
      <c r="L2229" s="186"/>
      <c r="M2229" s="186"/>
      <c r="N2229" s="186"/>
      <c r="O2229" s="186"/>
      <c r="P2229" s="186"/>
      <c r="Q2229" s="182"/>
      <c r="R2229" s="182"/>
      <c r="S2229" s="182"/>
      <c r="T2229" s="186"/>
      <c r="U2229" s="186"/>
    </row>
    <row r="2230" spans="2:21" x14ac:dyDescent="0.2">
      <c r="B2230" s="182"/>
      <c r="C2230" s="182"/>
      <c r="D2230" s="182"/>
      <c r="E2230" s="182"/>
      <c r="F2230" s="182"/>
      <c r="I2230" s="40"/>
      <c r="J2230" s="186"/>
      <c r="K2230" s="186"/>
      <c r="L2230" s="186"/>
      <c r="M2230" s="186"/>
      <c r="N2230" s="186"/>
      <c r="O2230" s="186"/>
      <c r="P2230" s="186"/>
      <c r="Q2230" s="182"/>
      <c r="R2230" s="182"/>
      <c r="S2230" s="182"/>
      <c r="T2230" s="186"/>
      <c r="U2230" s="186"/>
    </row>
    <row r="2231" spans="2:21" x14ac:dyDescent="0.2">
      <c r="B2231" s="182"/>
      <c r="C2231" s="182"/>
      <c r="D2231" s="182"/>
      <c r="E2231" s="182"/>
      <c r="F2231" s="182"/>
      <c r="I2231" s="40"/>
      <c r="J2231" s="186"/>
      <c r="K2231" s="186"/>
      <c r="L2231" s="186"/>
      <c r="M2231" s="186"/>
      <c r="N2231" s="186"/>
      <c r="O2231" s="186"/>
      <c r="P2231" s="186"/>
      <c r="Q2231" s="182"/>
      <c r="R2231" s="182"/>
      <c r="S2231" s="182"/>
      <c r="T2231" s="186"/>
      <c r="U2231" s="186"/>
    </row>
    <row r="2232" spans="2:21" x14ac:dyDescent="0.2">
      <c r="B2232" s="182"/>
      <c r="C2232" s="182"/>
      <c r="D2232" s="182"/>
      <c r="E2232" s="182"/>
      <c r="F2232" s="182"/>
      <c r="I2232" s="40"/>
      <c r="J2232" s="186"/>
      <c r="K2232" s="186"/>
      <c r="L2232" s="186"/>
      <c r="M2232" s="186"/>
      <c r="N2232" s="186"/>
      <c r="O2232" s="186"/>
      <c r="P2232" s="186"/>
      <c r="Q2232" s="182"/>
      <c r="R2232" s="182"/>
      <c r="S2232" s="182"/>
      <c r="T2232" s="186"/>
      <c r="U2232" s="186"/>
    </row>
    <row r="2233" spans="2:21" x14ac:dyDescent="0.2">
      <c r="B2233" s="182"/>
      <c r="C2233" s="182"/>
      <c r="D2233" s="182"/>
      <c r="E2233" s="182"/>
      <c r="F2233" s="182"/>
      <c r="I2233" s="40"/>
      <c r="J2233" s="186"/>
      <c r="K2233" s="186"/>
      <c r="L2233" s="186"/>
      <c r="M2233" s="186"/>
      <c r="N2233" s="186"/>
      <c r="O2233" s="186"/>
      <c r="P2233" s="186"/>
      <c r="Q2233" s="182"/>
      <c r="R2233" s="182"/>
      <c r="S2233" s="182"/>
      <c r="T2233" s="186"/>
      <c r="U2233" s="186"/>
    </row>
    <row r="2234" spans="2:21" x14ac:dyDescent="0.2">
      <c r="B2234" s="182"/>
      <c r="C2234" s="182"/>
      <c r="D2234" s="182"/>
      <c r="E2234" s="182"/>
      <c r="F2234" s="182"/>
      <c r="I2234" s="40"/>
      <c r="J2234" s="186"/>
      <c r="K2234" s="186"/>
      <c r="L2234" s="186"/>
      <c r="M2234" s="186"/>
      <c r="N2234" s="186"/>
      <c r="O2234" s="186"/>
      <c r="P2234" s="186"/>
      <c r="Q2234" s="182"/>
      <c r="R2234" s="182"/>
      <c r="S2234" s="182"/>
      <c r="T2234" s="186"/>
      <c r="U2234" s="186"/>
    </row>
    <row r="2235" spans="2:21" x14ac:dyDescent="0.2">
      <c r="B2235" s="182"/>
      <c r="C2235" s="182"/>
      <c r="D2235" s="182"/>
      <c r="E2235" s="182"/>
      <c r="F2235" s="182"/>
      <c r="I2235" s="40"/>
      <c r="J2235" s="186"/>
      <c r="K2235" s="186"/>
      <c r="L2235" s="186"/>
      <c r="M2235" s="186"/>
      <c r="N2235" s="186"/>
      <c r="O2235" s="186"/>
      <c r="P2235" s="186"/>
      <c r="Q2235" s="182"/>
      <c r="R2235" s="182"/>
      <c r="S2235" s="182"/>
      <c r="T2235" s="186"/>
      <c r="U2235" s="186"/>
    </row>
    <row r="2236" spans="2:21" x14ac:dyDescent="0.2">
      <c r="B2236" s="182"/>
      <c r="C2236" s="182"/>
      <c r="D2236" s="182"/>
      <c r="E2236" s="182"/>
      <c r="F2236" s="182"/>
      <c r="I2236" s="40"/>
      <c r="J2236" s="186"/>
      <c r="K2236" s="186"/>
      <c r="L2236" s="186"/>
      <c r="M2236" s="186"/>
      <c r="N2236" s="186"/>
      <c r="O2236" s="186"/>
      <c r="P2236" s="186"/>
      <c r="Q2236" s="182"/>
      <c r="R2236" s="182"/>
      <c r="S2236" s="182"/>
      <c r="T2236" s="186"/>
      <c r="U2236" s="186"/>
    </row>
    <row r="2237" spans="2:21" x14ac:dyDescent="0.2">
      <c r="B2237" s="182"/>
      <c r="C2237" s="182"/>
      <c r="D2237" s="182"/>
      <c r="E2237" s="182"/>
      <c r="F2237" s="182"/>
      <c r="I2237" s="40"/>
      <c r="J2237" s="186"/>
      <c r="K2237" s="186"/>
      <c r="L2237" s="186"/>
      <c r="M2237" s="186"/>
      <c r="N2237" s="186"/>
      <c r="O2237" s="186"/>
      <c r="P2237" s="186"/>
      <c r="Q2237" s="182"/>
      <c r="R2237" s="182"/>
      <c r="S2237" s="182"/>
      <c r="T2237" s="186"/>
      <c r="U2237" s="186"/>
    </row>
    <row r="2238" spans="2:21" x14ac:dyDescent="0.2">
      <c r="B2238" s="182"/>
      <c r="C2238" s="182"/>
      <c r="D2238" s="182"/>
      <c r="E2238" s="182"/>
      <c r="F2238" s="182"/>
      <c r="I2238" s="40"/>
      <c r="J2238" s="186"/>
      <c r="K2238" s="186"/>
      <c r="L2238" s="186"/>
      <c r="M2238" s="186"/>
      <c r="N2238" s="186"/>
      <c r="O2238" s="186"/>
      <c r="P2238" s="186"/>
      <c r="Q2238" s="182"/>
      <c r="R2238" s="182"/>
      <c r="S2238" s="182"/>
      <c r="T2238" s="186"/>
      <c r="U2238" s="186"/>
    </row>
    <row r="2239" spans="2:21" x14ac:dyDescent="0.2">
      <c r="B2239" s="182"/>
      <c r="C2239" s="182"/>
      <c r="D2239" s="182"/>
      <c r="E2239" s="182"/>
      <c r="F2239" s="182"/>
      <c r="I2239" s="40"/>
      <c r="J2239" s="186"/>
      <c r="K2239" s="186"/>
      <c r="L2239" s="186"/>
      <c r="M2239" s="186"/>
      <c r="N2239" s="186"/>
      <c r="O2239" s="186"/>
      <c r="P2239" s="186"/>
      <c r="Q2239" s="182"/>
      <c r="R2239" s="182"/>
      <c r="S2239" s="182"/>
      <c r="T2239" s="186"/>
      <c r="U2239" s="186"/>
    </row>
    <row r="2240" spans="2:21" x14ac:dyDescent="0.2">
      <c r="B2240" s="182"/>
      <c r="C2240" s="182"/>
      <c r="D2240" s="182"/>
      <c r="E2240" s="182"/>
      <c r="F2240" s="182"/>
      <c r="I2240" s="40"/>
      <c r="J2240" s="186"/>
      <c r="K2240" s="186"/>
      <c r="L2240" s="186"/>
      <c r="M2240" s="186"/>
      <c r="N2240" s="186"/>
      <c r="O2240" s="186"/>
      <c r="P2240" s="186"/>
      <c r="Q2240" s="182"/>
      <c r="R2240" s="182"/>
      <c r="S2240" s="182"/>
      <c r="T2240" s="186"/>
      <c r="U2240" s="186"/>
    </row>
    <row r="2241" spans="2:21" x14ac:dyDescent="0.2">
      <c r="B2241" s="182"/>
      <c r="C2241" s="182"/>
      <c r="D2241" s="182"/>
      <c r="E2241" s="182"/>
      <c r="F2241" s="182"/>
      <c r="I2241" s="40"/>
      <c r="J2241" s="186"/>
      <c r="K2241" s="186"/>
      <c r="L2241" s="186"/>
      <c r="M2241" s="186"/>
      <c r="N2241" s="186"/>
      <c r="O2241" s="186"/>
      <c r="P2241" s="186"/>
      <c r="Q2241" s="182"/>
      <c r="R2241" s="182"/>
      <c r="S2241" s="182"/>
      <c r="T2241" s="186"/>
      <c r="U2241" s="186"/>
    </row>
    <row r="2242" spans="2:21" x14ac:dyDescent="0.2">
      <c r="B2242" s="182"/>
      <c r="C2242" s="182"/>
      <c r="D2242" s="182"/>
      <c r="E2242" s="182"/>
      <c r="F2242" s="182"/>
      <c r="I2242" s="40"/>
      <c r="J2242" s="186"/>
      <c r="K2242" s="186"/>
      <c r="L2242" s="186"/>
      <c r="M2242" s="186"/>
      <c r="N2242" s="186"/>
      <c r="O2242" s="186"/>
      <c r="P2242" s="186"/>
      <c r="Q2242" s="182"/>
      <c r="R2242" s="182"/>
      <c r="S2242" s="182"/>
      <c r="T2242" s="186"/>
      <c r="U2242" s="186"/>
    </row>
    <row r="2243" spans="2:21" x14ac:dyDescent="0.2">
      <c r="B2243" s="182"/>
      <c r="C2243" s="182"/>
      <c r="D2243" s="182"/>
      <c r="E2243" s="182"/>
      <c r="F2243" s="182"/>
      <c r="I2243" s="40"/>
      <c r="J2243" s="186"/>
      <c r="K2243" s="186"/>
      <c r="L2243" s="186"/>
      <c r="M2243" s="186"/>
      <c r="N2243" s="186"/>
      <c r="O2243" s="186"/>
      <c r="P2243" s="186"/>
      <c r="Q2243" s="182"/>
      <c r="R2243" s="182"/>
      <c r="S2243" s="182"/>
      <c r="T2243" s="186"/>
      <c r="U2243" s="186"/>
    </row>
    <row r="2244" spans="2:21" x14ac:dyDescent="0.2">
      <c r="B2244" s="182"/>
      <c r="C2244" s="182"/>
      <c r="D2244" s="182"/>
      <c r="E2244" s="182"/>
      <c r="F2244" s="182"/>
      <c r="I2244" s="40"/>
      <c r="J2244" s="186"/>
      <c r="K2244" s="186"/>
      <c r="L2244" s="186"/>
      <c r="M2244" s="186"/>
      <c r="N2244" s="186"/>
      <c r="O2244" s="186"/>
      <c r="P2244" s="186"/>
      <c r="Q2244" s="182"/>
      <c r="R2244" s="182"/>
      <c r="S2244" s="182"/>
      <c r="T2244" s="186"/>
      <c r="U2244" s="186"/>
    </row>
    <row r="2245" spans="2:21" x14ac:dyDescent="0.2">
      <c r="B2245" s="182"/>
      <c r="C2245" s="182"/>
      <c r="D2245" s="182"/>
      <c r="E2245" s="182"/>
      <c r="F2245" s="182"/>
      <c r="I2245" s="40"/>
      <c r="J2245" s="186"/>
      <c r="K2245" s="186"/>
      <c r="L2245" s="186"/>
      <c r="M2245" s="186"/>
      <c r="N2245" s="186"/>
      <c r="O2245" s="186"/>
      <c r="P2245" s="186"/>
      <c r="Q2245" s="182"/>
      <c r="R2245" s="182"/>
      <c r="S2245" s="182"/>
      <c r="T2245" s="186"/>
      <c r="U2245" s="186"/>
    </row>
    <row r="2246" spans="2:21" x14ac:dyDescent="0.2">
      <c r="B2246" s="182"/>
      <c r="C2246" s="182"/>
      <c r="D2246" s="182"/>
      <c r="E2246" s="182"/>
      <c r="F2246" s="182"/>
      <c r="I2246" s="40"/>
      <c r="J2246" s="186"/>
      <c r="K2246" s="186"/>
      <c r="L2246" s="186"/>
      <c r="M2246" s="186"/>
      <c r="N2246" s="186"/>
      <c r="O2246" s="186"/>
      <c r="P2246" s="186"/>
      <c r="Q2246" s="182"/>
      <c r="R2246" s="182"/>
      <c r="S2246" s="182"/>
      <c r="T2246" s="186"/>
      <c r="U2246" s="186"/>
    </row>
    <row r="2247" spans="2:21" x14ac:dyDescent="0.2">
      <c r="B2247" s="182"/>
      <c r="C2247" s="182"/>
      <c r="D2247" s="182"/>
      <c r="E2247" s="182"/>
      <c r="F2247" s="182"/>
      <c r="I2247" s="40"/>
      <c r="J2247" s="186"/>
      <c r="K2247" s="186"/>
      <c r="L2247" s="186"/>
      <c r="M2247" s="186"/>
      <c r="N2247" s="186"/>
      <c r="O2247" s="186"/>
      <c r="P2247" s="186"/>
      <c r="Q2247" s="182"/>
      <c r="R2247" s="182"/>
      <c r="S2247" s="182"/>
      <c r="T2247" s="186"/>
      <c r="U2247" s="186"/>
    </row>
    <row r="2248" spans="2:21" x14ac:dyDescent="0.2">
      <c r="B2248" s="182"/>
      <c r="C2248" s="182"/>
      <c r="D2248" s="182"/>
      <c r="E2248" s="182"/>
      <c r="F2248" s="182"/>
      <c r="I2248" s="40"/>
      <c r="J2248" s="186"/>
      <c r="K2248" s="186"/>
      <c r="L2248" s="186"/>
      <c r="M2248" s="186"/>
      <c r="N2248" s="186"/>
      <c r="O2248" s="186"/>
      <c r="P2248" s="186"/>
      <c r="Q2248" s="182"/>
      <c r="R2248" s="182"/>
      <c r="S2248" s="182"/>
      <c r="T2248" s="186"/>
      <c r="U2248" s="186"/>
    </row>
    <row r="2249" spans="2:21" x14ac:dyDescent="0.2">
      <c r="B2249" s="182"/>
      <c r="C2249" s="182"/>
      <c r="D2249" s="182"/>
      <c r="E2249" s="182"/>
      <c r="F2249" s="182"/>
      <c r="I2249" s="40"/>
      <c r="J2249" s="186"/>
      <c r="K2249" s="186"/>
      <c r="L2249" s="186"/>
      <c r="M2249" s="186"/>
      <c r="N2249" s="186"/>
      <c r="O2249" s="186"/>
      <c r="P2249" s="186"/>
      <c r="Q2249" s="182"/>
      <c r="R2249" s="182"/>
      <c r="S2249" s="182"/>
      <c r="T2249" s="186"/>
      <c r="U2249" s="186"/>
    </row>
    <row r="2250" spans="2:21" x14ac:dyDescent="0.2">
      <c r="B2250" s="182"/>
      <c r="C2250" s="182"/>
      <c r="D2250" s="182"/>
      <c r="E2250" s="182"/>
      <c r="F2250" s="182"/>
      <c r="I2250" s="40"/>
      <c r="J2250" s="186"/>
      <c r="K2250" s="186"/>
      <c r="L2250" s="186"/>
      <c r="M2250" s="186"/>
      <c r="N2250" s="186"/>
      <c r="O2250" s="186"/>
      <c r="P2250" s="186"/>
      <c r="Q2250" s="182"/>
      <c r="R2250" s="182"/>
      <c r="S2250" s="182"/>
      <c r="T2250" s="186"/>
      <c r="U2250" s="186"/>
    </row>
    <row r="2251" spans="2:21" x14ac:dyDescent="0.2">
      <c r="B2251" s="182"/>
      <c r="C2251" s="182"/>
      <c r="D2251" s="182"/>
      <c r="E2251" s="182"/>
      <c r="F2251" s="182"/>
      <c r="I2251" s="40"/>
      <c r="J2251" s="186"/>
      <c r="K2251" s="186"/>
      <c r="L2251" s="186"/>
      <c r="M2251" s="186"/>
      <c r="N2251" s="186"/>
      <c r="O2251" s="186"/>
      <c r="P2251" s="186"/>
      <c r="Q2251" s="182"/>
      <c r="R2251" s="182"/>
      <c r="S2251" s="182"/>
      <c r="T2251" s="186"/>
      <c r="U2251" s="186"/>
    </row>
    <row r="2252" spans="2:21" x14ac:dyDescent="0.2">
      <c r="B2252" s="182"/>
      <c r="C2252" s="182"/>
      <c r="D2252" s="182"/>
      <c r="E2252" s="182"/>
      <c r="F2252" s="182"/>
      <c r="I2252" s="40"/>
      <c r="J2252" s="186"/>
      <c r="K2252" s="186"/>
      <c r="L2252" s="186"/>
      <c r="M2252" s="186"/>
      <c r="N2252" s="186"/>
      <c r="O2252" s="186"/>
      <c r="P2252" s="186"/>
      <c r="Q2252" s="182"/>
      <c r="R2252" s="182"/>
      <c r="S2252" s="182"/>
      <c r="T2252" s="186"/>
      <c r="U2252" s="186"/>
    </row>
    <row r="2253" spans="2:21" x14ac:dyDescent="0.2">
      <c r="B2253" s="182"/>
      <c r="C2253" s="182"/>
      <c r="D2253" s="182"/>
      <c r="E2253" s="182"/>
      <c r="F2253" s="182"/>
      <c r="I2253" s="40"/>
      <c r="J2253" s="186"/>
      <c r="K2253" s="186"/>
      <c r="L2253" s="186"/>
      <c r="M2253" s="186"/>
      <c r="N2253" s="186"/>
      <c r="O2253" s="186"/>
      <c r="P2253" s="186"/>
      <c r="Q2253" s="182"/>
      <c r="R2253" s="182"/>
      <c r="S2253" s="182"/>
      <c r="T2253" s="186"/>
      <c r="U2253" s="186"/>
    </row>
    <row r="2254" spans="2:21" x14ac:dyDescent="0.2">
      <c r="B2254" s="182"/>
      <c r="C2254" s="182"/>
      <c r="D2254" s="182"/>
      <c r="E2254" s="182"/>
      <c r="F2254" s="182"/>
      <c r="I2254" s="40"/>
      <c r="J2254" s="186"/>
      <c r="K2254" s="186"/>
      <c r="L2254" s="186"/>
      <c r="M2254" s="186"/>
      <c r="N2254" s="186"/>
      <c r="O2254" s="186"/>
      <c r="P2254" s="186"/>
      <c r="Q2254" s="182"/>
      <c r="R2254" s="182"/>
      <c r="S2254" s="182"/>
      <c r="T2254" s="186"/>
      <c r="U2254" s="186"/>
    </row>
    <row r="2255" spans="2:21" x14ac:dyDescent="0.2">
      <c r="B2255" s="182"/>
      <c r="C2255" s="182"/>
      <c r="D2255" s="182"/>
      <c r="E2255" s="182"/>
      <c r="F2255" s="182"/>
      <c r="I2255" s="40"/>
      <c r="J2255" s="186"/>
      <c r="K2255" s="186"/>
      <c r="L2255" s="186"/>
      <c r="M2255" s="186"/>
      <c r="N2255" s="186"/>
      <c r="O2255" s="186"/>
      <c r="P2255" s="186"/>
      <c r="Q2255" s="182"/>
      <c r="R2255" s="182"/>
      <c r="S2255" s="182"/>
      <c r="T2255" s="186"/>
      <c r="U2255" s="186"/>
    </row>
    <row r="2256" spans="2:21" x14ac:dyDescent="0.2">
      <c r="B2256" s="182"/>
      <c r="C2256" s="182"/>
      <c r="D2256" s="182"/>
      <c r="E2256" s="182"/>
      <c r="F2256" s="182"/>
      <c r="I2256" s="40"/>
      <c r="J2256" s="186"/>
      <c r="K2256" s="186"/>
      <c r="L2256" s="186"/>
      <c r="M2256" s="186"/>
      <c r="N2256" s="186"/>
      <c r="O2256" s="186"/>
      <c r="P2256" s="186"/>
      <c r="Q2256" s="182"/>
      <c r="R2256" s="182"/>
      <c r="S2256" s="182"/>
      <c r="T2256" s="186"/>
      <c r="U2256" s="186"/>
    </row>
    <row r="2258" spans="2:21" x14ac:dyDescent="0.2">
      <c r="B2258" s="182"/>
      <c r="C2258" s="182"/>
      <c r="D2258" s="182"/>
      <c r="E2258" s="182"/>
      <c r="F2258" s="182"/>
      <c r="I2258" s="40"/>
      <c r="J2258" s="186"/>
      <c r="K2258" s="186"/>
      <c r="L2258" s="186"/>
      <c r="M2258" s="186"/>
      <c r="N2258" s="186"/>
      <c r="O2258" s="186"/>
      <c r="P2258" s="186"/>
      <c r="Q2258" s="182"/>
      <c r="R2258" s="182"/>
      <c r="S2258" s="182"/>
      <c r="T2258" s="186"/>
      <c r="U2258" s="186"/>
    </row>
    <row r="2259" spans="2:21" x14ac:dyDescent="0.2">
      <c r="B2259" s="182"/>
      <c r="C2259" s="182"/>
      <c r="D2259" s="182"/>
      <c r="E2259" s="182"/>
      <c r="F2259" s="182"/>
      <c r="I2259" s="40"/>
      <c r="J2259" s="186"/>
      <c r="K2259" s="186"/>
      <c r="L2259" s="186"/>
      <c r="M2259" s="186"/>
      <c r="N2259" s="186"/>
      <c r="O2259" s="186"/>
      <c r="P2259" s="186"/>
      <c r="Q2259" s="182"/>
      <c r="R2259" s="182"/>
      <c r="S2259" s="182"/>
      <c r="T2259" s="186"/>
      <c r="U2259" s="186"/>
    </row>
    <row r="2260" spans="2:21" x14ac:dyDescent="0.2">
      <c r="B2260" s="182"/>
      <c r="C2260" s="182"/>
      <c r="D2260" s="182"/>
      <c r="E2260" s="182"/>
      <c r="F2260" s="182"/>
      <c r="I2260" s="40"/>
      <c r="J2260" s="186"/>
      <c r="K2260" s="186"/>
      <c r="L2260" s="186"/>
      <c r="M2260" s="186"/>
      <c r="N2260" s="186"/>
      <c r="O2260" s="186"/>
      <c r="P2260" s="186"/>
      <c r="Q2260" s="182"/>
      <c r="R2260" s="182"/>
      <c r="S2260" s="182"/>
      <c r="T2260" s="186"/>
      <c r="U2260" s="186"/>
    </row>
    <row r="2261" spans="2:21" x14ac:dyDescent="0.2">
      <c r="B2261" s="182"/>
      <c r="C2261" s="182"/>
      <c r="D2261" s="182"/>
      <c r="E2261" s="182"/>
      <c r="F2261" s="182"/>
      <c r="I2261" s="40"/>
      <c r="J2261" s="186"/>
      <c r="K2261" s="186"/>
      <c r="L2261" s="186"/>
      <c r="M2261" s="186"/>
      <c r="N2261" s="186"/>
      <c r="O2261" s="186"/>
      <c r="P2261" s="186"/>
      <c r="Q2261" s="182"/>
      <c r="R2261" s="182"/>
      <c r="S2261" s="182"/>
      <c r="T2261" s="186"/>
      <c r="U2261" s="186"/>
    </row>
    <row r="2262" spans="2:21" x14ac:dyDescent="0.2">
      <c r="B2262" s="182"/>
      <c r="C2262" s="182"/>
      <c r="D2262" s="182"/>
      <c r="E2262" s="182"/>
      <c r="F2262" s="182"/>
      <c r="I2262" s="40"/>
      <c r="J2262" s="186"/>
      <c r="K2262" s="186"/>
      <c r="L2262" s="186"/>
      <c r="M2262" s="186"/>
      <c r="N2262" s="186"/>
      <c r="O2262" s="186"/>
      <c r="P2262" s="186"/>
      <c r="Q2262" s="182"/>
      <c r="R2262" s="182"/>
      <c r="S2262" s="182"/>
      <c r="T2262" s="186"/>
      <c r="U2262" s="186"/>
    </row>
    <row r="2263" spans="2:21" x14ac:dyDescent="0.2">
      <c r="B2263" s="182"/>
      <c r="C2263" s="182"/>
      <c r="D2263" s="182"/>
      <c r="E2263" s="182"/>
      <c r="F2263" s="182"/>
      <c r="I2263" s="40"/>
      <c r="J2263" s="186"/>
      <c r="K2263" s="186"/>
      <c r="L2263" s="186"/>
      <c r="M2263" s="186"/>
      <c r="N2263" s="186"/>
      <c r="O2263" s="186"/>
      <c r="P2263" s="186"/>
      <c r="Q2263" s="182"/>
      <c r="R2263" s="182"/>
      <c r="S2263" s="182"/>
      <c r="T2263" s="186"/>
      <c r="U2263" s="186"/>
    </row>
    <row r="2264" spans="2:21" x14ac:dyDescent="0.2">
      <c r="B2264" s="182"/>
      <c r="C2264" s="182"/>
      <c r="D2264" s="182"/>
      <c r="E2264" s="182"/>
      <c r="F2264" s="182"/>
      <c r="I2264" s="40"/>
      <c r="J2264" s="186"/>
      <c r="K2264" s="186"/>
      <c r="L2264" s="186"/>
      <c r="M2264" s="186"/>
      <c r="N2264" s="186"/>
      <c r="O2264" s="186"/>
      <c r="P2264" s="186"/>
      <c r="Q2264" s="182"/>
      <c r="R2264" s="182"/>
      <c r="S2264" s="182"/>
      <c r="T2264" s="186"/>
      <c r="U2264" s="186"/>
    </row>
    <row r="2265" spans="2:21" x14ac:dyDescent="0.2">
      <c r="B2265" s="182"/>
      <c r="C2265" s="182"/>
      <c r="D2265" s="182"/>
      <c r="E2265" s="182"/>
      <c r="F2265" s="182"/>
      <c r="I2265" s="40"/>
      <c r="J2265" s="186"/>
      <c r="K2265" s="186"/>
      <c r="L2265" s="186"/>
      <c r="M2265" s="186"/>
      <c r="N2265" s="186"/>
      <c r="O2265" s="186"/>
      <c r="P2265" s="186"/>
      <c r="Q2265" s="182"/>
      <c r="R2265" s="182"/>
      <c r="S2265" s="182"/>
      <c r="T2265" s="186"/>
      <c r="U2265" s="186"/>
    </row>
    <row r="2266" spans="2:21" x14ac:dyDescent="0.2">
      <c r="B2266" s="182"/>
      <c r="C2266" s="182"/>
      <c r="D2266" s="182"/>
      <c r="E2266" s="182"/>
      <c r="F2266" s="182"/>
      <c r="I2266" s="40"/>
      <c r="J2266" s="186"/>
      <c r="K2266" s="186"/>
      <c r="L2266" s="186"/>
      <c r="M2266" s="186"/>
      <c r="N2266" s="186"/>
      <c r="O2266" s="186"/>
      <c r="P2266" s="186"/>
      <c r="Q2266" s="182"/>
      <c r="R2266" s="182"/>
      <c r="S2266" s="182"/>
      <c r="T2266" s="186"/>
      <c r="U2266" s="186"/>
    </row>
    <row r="2267" spans="2:21" x14ac:dyDescent="0.2">
      <c r="B2267" s="182"/>
      <c r="C2267" s="182"/>
      <c r="D2267" s="182"/>
      <c r="E2267" s="182"/>
      <c r="F2267" s="182"/>
      <c r="I2267" s="40"/>
      <c r="J2267" s="186"/>
      <c r="K2267" s="186"/>
      <c r="L2267" s="186"/>
      <c r="M2267" s="186"/>
      <c r="N2267" s="186"/>
      <c r="O2267" s="186"/>
      <c r="P2267" s="186"/>
      <c r="Q2267" s="182"/>
      <c r="R2267" s="182"/>
      <c r="S2267" s="182"/>
      <c r="T2267" s="186"/>
      <c r="U2267" s="186"/>
    </row>
    <row r="2268" spans="2:21" x14ac:dyDescent="0.2">
      <c r="B2268" s="182"/>
      <c r="C2268" s="182"/>
      <c r="D2268" s="182"/>
      <c r="E2268" s="182"/>
      <c r="F2268" s="182"/>
      <c r="I2268" s="40"/>
      <c r="J2268" s="186"/>
      <c r="K2268" s="186"/>
      <c r="L2268" s="186"/>
      <c r="M2268" s="186"/>
      <c r="N2268" s="186"/>
      <c r="O2268" s="186"/>
      <c r="P2268" s="186"/>
      <c r="Q2268" s="182"/>
      <c r="R2268" s="182"/>
      <c r="S2268" s="182"/>
      <c r="T2268" s="186"/>
      <c r="U2268" s="186"/>
    </row>
    <row r="2269" spans="2:21" x14ac:dyDescent="0.2">
      <c r="B2269" s="182"/>
      <c r="C2269" s="182"/>
      <c r="D2269" s="182"/>
      <c r="E2269" s="182"/>
      <c r="F2269" s="182"/>
      <c r="I2269" s="40"/>
      <c r="J2269" s="186"/>
      <c r="K2269" s="186"/>
      <c r="L2269" s="186"/>
      <c r="M2269" s="186"/>
      <c r="N2269" s="186"/>
      <c r="O2269" s="186"/>
      <c r="P2269" s="186"/>
      <c r="Q2269" s="182"/>
      <c r="R2269" s="182"/>
      <c r="S2269" s="182"/>
      <c r="T2269" s="186"/>
      <c r="U2269" s="186"/>
    </row>
    <row r="2270" spans="2:21" x14ac:dyDescent="0.2">
      <c r="B2270" s="182"/>
      <c r="C2270" s="182"/>
      <c r="D2270" s="182"/>
      <c r="E2270" s="182"/>
      <c r="F2270" s="182"/>
      <c r="I2270" s="40"/>
      <c r="J2270" s="186"/>
      <c r="K2270" s="186"/>
      <c r="L2270" s="186"/>
      <c r="M2270" s="186"/>
      <c r="N2270" s="186"/>
      <c r="O2270" s="186"/>
      <c r="P2270" s="186"/>
      <c r="Q2270" s="182"/>
      <c r="R2270" s="182"/>
      <c r="S2270" s="182"/>
      <c r="T2270" s="186"/>
      <c r="U2270" s="186"/>
    </row>
    <row r="2271" spans="2:21" x14ac:dyDescent="0.2">
      <c r="B2271" s="182"/>
      <c r="C2271" s="182"/>
      <c r="D2271" s="182"/>
      <c r="E2271" s="182"/>
      <c r="F2271" s="182"/>
      <c r="I2271" s="40"/>
      <c r="J2271" s="186"/>
      <c r="K2271" s="186"/>
      <c r="L2271" s="186"/>
      <c r="M2271" s="186"/>
      <c r="N2271" s="186"/>
      <c r="O2271" s="186"/>
      <c r="P2271" s="186"/>
      <c r="Q2271" s="182"/>
      <c r="R2271" s="182"/>
      <c r="S2271" s="182"/>
      <c r="T2271" s="186"/>
      <c r="U2271" s="186"/>
    </row>
    <row r="2272" spans="2:21" x14ac:dyDescent="0.2">
      <c r="B2272" s="182"/>
      <c r="C2272" s="182"/>
      <c r="D2272" s="182"/>
      <c r="E2272" s="182"/>
      <c r="F2272" s="182"/>
      <c r="I2272" s="40"/>
      <c r="J2272" s="186"/>
      <c r="K2272" s="186"/>
      <c r="L2272" s="186"/>
      <c r="M2272" s="186"/>
      <c r="N2272" s="186"/>
      <c r="O2272" s="186"/>
      <c r="P2272" s="186"/>
      <c r="Q2272" s="182"/>
      <c r="R2272" s="182"/>
      <c r="S2272" s="182"/>
      <c r="T2272" s="186"/>
      <c r="U2272" s="186"/>
    </row>
    <row r="2273" spans="2:21" x14ac:dyDescent="0.2">
      <c r="B2273" s="182"/>
      <c r="C2273" s="182"/>
      <c r="D2273" s="182"/>
      <c r="E2273" s="182"/>
      <c r="F2273" s="182"/>
      <c r="I2273" s="40"/>
      <c r="J2273" s="186"/>
      <c r="K2273" s="186"/>
      <c r="L2273" s="186"/>
      <c r="M2273" s="186"/>
      <c r="N2273" s="186"/>
      <c r="O2273" s="186"/>
      <c r="P2273" s="186"/>
      <c r="Q2273" s="182"/>
      <c r="R2273" s="182"/>
      <c r="S2273" s="182"/>
      <c r="T2273" s="186"/>
      <c r="U2273" s="186"/>
    </row>
    <row r="2274" spans="2:21" x14ac:dyDescent="0.2">
      <c r="B2274" s="182"/>
      <c r="C2274" s="182"/>
      <c r="D2274" s="182"/>
      <c r="E2274" s="182"/>
      <c r="F2274" s="182"/>
      <c r="I2274" s="40"/>
      <c r="J2274" s="186"/>
      <c r="K2274" s="186"/>
      <c r="L2274" s="186"/>
      <c r="M2274" s="186"/>
      <c r="N2274" s="186"/>
      <c r="O2274" s="186"/>
      <c r="P2274" s="186"/>
      <c r="Q2274" s="182"/>
      <c r="R2274" s="182"/>
      <c r="S2274" s="182"/>
      <c r="T2274" s="186"/>
      <c r="U2274" s="186"/>
    </row>
    <row r="2275" spans="2:21" x14ac:dyDescent="0.2">
      <c r="B2275" s="182"/>
      <c r="C2275" s="182"/>
      <c r="D2275" s="182"/>
      <c r="E2275" s="182"/>
      <c r="F2275" s="182"/>
      <c r="I2275" s="40"/>
      <c r="J2275" s="186"/>
      <c r="K2275" s="186"/>
      <c r="L2275" s="186"/>
      <c r="M2275" s="186"/>
      <c r="N2275" s="186"/>
      <c r="O2275" s="186"/>
      <c r="P2275" s="186"/>
      <c r="Q2275" s="182"/>
      <c r="R2275" s="182"/>
      <c r="S2275" s="182"/>
      <c r="T2275" s="186"/>
      <c r="U2275" s="186"/>
    </row>
    <row r="2276" spans="2:21" x14ac:dyDescent="0.2">
      <c r="B2276" s="182"/>
      <c r="C2276" s="182"/>
      <c r="D2276" s="182"/>
      <c r="E2276" s="182"/>
      <c r="F2276" s="182"/>
      <c r="I2276" s="40"/>
      <c r="J2276" s="186"/>
      <c r="K2276" s="186"/>
      <c r="L2276" s="186"/>
      <c r="M2276" s="186"/>
      <c r="N2276" s="186"/>
      <c r="O2276" s="186"/>
      <c r="P2276" s="186"/>
      <c r="Q2276" s="182"/>
      <c r="R2276" s="182"/>
      <c r="S2276" s="182"/>
      <c r="T2276" s="186"/>
      <c r="U2276" s="186"/>
    </row>
    <row r="2277" spans="2:21" x14ac:dyDescent="0.2">
      <c r="B2277" s="182"/>
      <c r="C2277" s="182"/>
      <c r="D2277" s="182"/>
      <c r="E2277" s="182"/>
      <c r="F2277" s="182"/>
      <c r="I2277" s="40"/>
      <c r="J2277" s="186"/>
      <c r="K2277" s="186"/>
      <c r="L2277" s="186"/>
      <c r="M2277" s="186"/>
      <c r="N2277" s="186"/>
      <c r="O2277" s="186"/>
      <c r="P2277" s="186"/>
      <c r="Q2277" s="182"/>
      <c r="R2277" s="182"/>
      <c r="S2277" s="182"/>
      <c r="T2277" s="186"/>
      <c r="U2277" s="186"/>
    </row>
    <row r="2278" spans="2:21" x14ac:dyDescent="0.2">
      <c r="B2278" s="182"/>
      <c r="C2278" s="182"/>
      <c r="D2278" s="182"/>
      <c r="E2278" s="182"/>
      <c r="F2278" s="182"/>
      <c r="I2278" s="40"/>
      <c r="J2278" s="186"/>
      <c r="K2278" s="186"/>
      <c r="L2278" s="186"/>
      <c r="M2278" s="186"/>
      <c r="N2278" s="186"/>
      <c r="O2278" s="186"/>
      <c r="P2278" s="186"/>
      <c r="Q2278" s="182"/>
      <c r="R2278" s="182"/>
      <c r="S2278" s="182"/>
      <c r="T2278" s="186"/>
      <c r="U2278" s="186"/>
    </row>
    <row r="2279" spans="2:21" x14ac:dyDescent="0.2">
      <c r="B2279" s="182"/>
      <c r="C2279" s="182"/>
      <c r="D2279" s="182"/>
      <c r="E2279" s="182"/>
      <c r="F2279" s="182"/>
      <c r="I2279" s="40"/>
      <c r="J2279" s="186"/>
      <c r="K2279" s="186"/>
      <c r="L2279" s="186"/>
      <c r="M2279" s="186"/>
      <c r="N2279" s="186"/>
      <c r="O2279" s="186"/>
      <c r="P2279" s="186"/>
      <c r="Q2279" s="182"/>
      <c r="R2279" s="182"/>
      <c r="S2279" s="182"/>
      <c r="T2279" s="186"/>
      <c r="U2279" s="186"/>
    </row>
    <row r="2280" spans="2:21" x14ac:dyDescent="0.2">
      <c r="B2280" s="182"/>
      <c r="C2280" s="182"/>
      <c r="D2280" s="182"/>
      <c r="E2280" s="182"/>
      <c r="F2280" s="182"/>
      <c r="I2280" s="40"/>
      <c r="J2280" s="186"/>
      <c r="K2280" s="186"/>
      <c r="L2280" s="186"/>
      <c r="M2280" s="186"/>
      <c r="N2280" s="186"/>
      <c r="O2280" s="186"/>
      <c r="P2280" s="186"/>
      <c r="Q2280" s="182"/>
      <c r="R2280" s="182"/>
      <c r="S2280" s="182"/>
      <c r="T2280" s="186"/>
      <c r="U2280" s="186"/>
    </row>
    <row r="2281" spans="2:21" x14ac:dyDescent="0.2">
      <c r="B2281" s="182"/>
      <c r="C2281" s="182"/>
      <c r="D2281" s="182"/>
      <c r="E2281" s="182"/>
      <c r="F2281" s="182"/>
      <c r="I2281" s="40"/>
      <c r="J2281" s="186"/>
      <c r="K2281" s="186"/>
      <c r="L2281" s="186"/>
      <c r="M2281" s="186"/>
      <c r="N2281" s="186"/>
      <c r="O2281" s="186"/>
      <c r="P2281" s="186"/>
      <c r="Q2281" s="182"/>
      <c r="R2281" s="182"/>
      <c r="S2281" s="182"/>
      <c r="T2281" s="186"/>
      <c r="U2281" s="186"/>
    </row>
    <row r="2282" spans="2:21" x14ac:dyDescent="0.2">
      <c r="B2282" s="182"/>
      <c r="C2282" s="182"/>
      <c r="D2282" s="182"/>
      <c r="E2282" s="182"/>
      <c r="F2282" s="182"/>
      <c r="I2282" s="40"/>
      <c r="J2282" s="186"/>
      <c r="K2282" s="186"/>
      <c r="L2282" s="186"/>
      <c r="M2282" s="186"/>
      <c r="N2282" s="186"/>
      <c r="O2282" s="186"/>
      <c r="P2282" s="186"/>
      <c r="Q2282" s="182"/>
      <c r="R2282" s="182"/>
      <c r="S2282" s="182"/>
      <c r="T2282" s="186"/>
      <c r="U2282" s="186"/>
    </row>
    <row r="2283" spans="2:21" x14ac:dyDescent="0.2">
      <c r="B2283" s="182"/>
      <c r="C2283" s="182"/>
      <c r="D2283" s="182"/>
      <c r="E2283" s="182"/>
      <c r="F2283" s="182"/>
      <c r="I2283" s="40"/>
      <c r="J2283" s="186"/>
      <c r="K2283" s="186"/>
      <c r="L2283" s="186"/>
      <c r="M2283" s="186"/>
      <c r="N2283" s="186"/>
      <c r="O2283" s="186"/>
      <c r="P2283" s="186"/>
      <c r="Q2283" s="182"/>
      <c r="R2283" s="182"/>
      <c r="S2283" s="182"/>
      <c r="T2283" s="186"/>
      <c r="U2283" s="186"/>
    </row>
    <row r="2284" spans="2:21" x14ac:dyDescent="0.2">
      <c r="B2284" s="182"/>
      <c r="C2284" s="182"/>
      <c r="D2284" s="182"/>
      <c r="E2284" s="182"/>
      <c r="F2284" s="182"/>
      <c r="I2284" s="40"/>
      <c r="J2284" s="186"/>
      <c r="K2284" s="186"/>
      <c r="L2284" s="186"/>
      <c r="M2284" s="186"/>
      <c r="N2284" s="186"/>
      <c r="O2284" s="186"/>
      <c r="P2284" s="186"/>
      <c r="Q2284" s="182"/>
      <c r="R2284" s="182"/>
      <c r="S2284" s="182"/>
      <c r="T2284" s="186"/>
      <c r="U2284" s="186"/>
    </row>
    <row r="2285" spans="2:21" x14ac:dyDescent="0.2">
      <c r="B2285" s="182"/>
      <c r="C2285" s="182"/>
      <c r="D2285" s="182"/>
      <c r="E2285" s="182"/>
      <c r="F2285" s="182"/>
      <c r="I2285" s="40"/>
      <c r="J2285" s="186"/>
      <c r="K2285" s="186"/>
      <c r="L2285" s="186"/>
      <c r="M2285" s="186"/>
      <c r="N2285" s="186"/>
      <c r="O2285" s="186"/>
      <c r="P2285" s="186"/>
      <c r="Q2285" s="182"/>
      <c r="R2285" s="182"/>
      <c r="S2285" s="182"/>
      <c r="T2285" s="186"/>
      <c r="U2285" s="186"/>
    </row>
    <row r="2286" spans="2:21" x14ac:dyDescent="0.2">
      <c r="B2286" s="182"/>
      <c r="C2286" s="182"/>
      <c r="D2286" s="182"/>
      <c r="E2286" s="182"/>
      <c r="F2286" s="182"/>
      <c r="I2286" s="40"/>
      <c r="J2286" s="186"/>
      <c r="K2286" s="186"/>
      <c r="L2286" s="186"/>
      <c r="M2286" s="186"/>
      <c r="N2286" s="186"/>
      <c r="O2286" s="186"/>
      <c r="P2286" s="186"/>
      <c r="Q2286" s="182"/>
      <c r="R2286" s="182"/>
      <c r="S2286" s="182"/>
      <c r="T2286" s="186"/>
      <c r="U2286" s="186"/>
    </row>
    <row r="2287" spans="2:21" x14ac:dyDescent="0.2">
      <c r="B2287" s="182"/>
      <c r="C2287" s="182"/>
      <c r="D2287" s="182"/>
      <c r="E2287" s="182"/>
      <c r="F2287" s="182"/>
      <c r="I2287" s="40"/>
      <c r="J2287" s="186"/>
      <c r="K2287" s="186"/>
      <c r="L2287" s="186"/>
      <c r="M2287" s="186"/>
      <c r="N2287" s="186"/>
      <c r="O2287" s="186"/>
      <c r="P2287" s="186"/>
      <c r="Q2287" s="182"/>
      <c r="R2287" s="182"/>
      <c r="S2287" s="182"/>
      <c r="T2287" s="186"/>
      <c r="U2287" s="186"/>
    </row>
    <row r="2288" spans="2:21" x14ac:dyDescent="0.2">
      <c r="B2288" s="182"/>
      <c r="C2288" s="182"/>
      <c r="D2288" s="182"/>
      <c r="E2288" s="182"/>
      <c r="F2288" s="182"/>
      <c r="I2288" s="40"/>
      <c r="J2288" s="186"/>
      <c r="K2288" s="186"/>
      <c r="L2288" s="186"/>
      <c r="M2288" s="186"/>
      <c r="N2288" s="186"/>
      <c r="O2288" s="186"/>
      <c r="P2288" s="186"/>
      <c r="Q2288" s="182"/>
      <c r="R2288" s="182"/>
      <c r="S2288" s="182"/>
      <c r="T2288" s="186"/>
      <c r="U2288" s="186"/>
    </row>
    <row r="2289" spans="2:21" x14ac:dyDescent="0.2">
      <c r="B2289" s="182"/>
      <c r="C2289" s="182"/>
      <c r="D2289" s="182"/>
      <c r="E2289" s="182"/>
      <c r="F2289" s="182"/>
      <c r="I2289" s="40"/>
      <c r="J2289" s="186"/>
      <c r="K2289" s="186"/>
      <c r="L2289" s="186"/>
      <c r="M2289" s="186"/>
      <c r="N2289" s="186"/>
      <c r="O2289" s="186"/>
      <c r="P2289" s="186"/>
      <c r="Q2289" s="182"/>
      <c r="R2289" s="182"/>
      <c r="S2289" s="182"/>
      <c r="T2289" s="186"/>
      <c r="U2289" s="186"/>
    </row>
    <row r="2290" spans="2:21" x14ac:dyDescent="0.2">
      <c r="B2290" s="182"/>
      <c r="C2290" s="182"/>
      <c r="D2290" s="182"/>
      <c r="E2290" s="182"/>
      <c r="F2290" s="182"/>
      <c r="I2290" s="40"/>
      <c r="J2290" s="186"/>
      <c r="K2290" s="186"/>
      <c r="L2290" s="186"/>
      <c r="M2290" s="186"/>
      <c r="N2290" s="186"/>
      <c r="O2290" s="186"/>
      <c r="P2290" s="186"/>
      <c r="Q2290" s="182"/>
      <c r="R2290" s="182"/>
      <c r="S2290" s="182"/>
      <c r="T2290" s="186"/>
      <c r="U2290" s="186"/>
    </row>
    <row r="2291" spans="2:21" x14ac:dyDescent="0.2">
      <c r="B2291" s="182"/>
      <c r="C2291" s="182"/>
      <c r="D2291" s="182"/>
      <c r="E2291" s="182"/>
      <c r="F2291" s="182"/>
      <c r="I2291" s="40"/>
      <c r="J2291" s="186"/>
      <c r="K2291" s="186"/>
      <c r="L2291" s="186"/>
      <c r="M2291" s="186"/>
      <c r="N2291" s="186"/>
      <c r="O2291" s="186"/>
      <c r="P2291" s="186"/>
      <c r="Q2291" s="182"/>
      <c r="R2291" s="182"/>
      <c r="S2291" s="182"/>
      <c r="T2291" s="186"/>
      <c r="U2291" s="186"/>
    </row>
    <row r="2292" spans="2:21" x14ac:dyDescent="0.2">
      <c r="B2292" s="182"/>
      <c r="C2292" s="182"/>
      <c r="D2292" s="182"/>
      <c r="E2292" s="182"/>
      <c r="F2292" s="182"/>
      <c r="I2292" s="40"/>
      <c r="J2292" s="186"/>
      <c r="K2292" s="186"/>
      <c r="L2292" s="186"/>
      <c r="M2292" s="186"/>
      <c r="N2292" s="186"/>
      <c r="O2292" s="186"/>
      <c r="P2292" s="186"/>
      <c r="Q2292" s="182"/>
      <c r="R2292" s="182"/>
      <c r="S2292" s="182"/>
      <c r="T2292" s="186"/>
      <c r="U2292" s="186"/>
    </row>
    <row r="2293" spans="2:21" x14ac:dyDescent="0.2">
      <c r="B2293" s="182"/>
      <c r="C2293" s="182"/>
      <c r="D2293" s="182"/>
      <c r="E2293" s="182"/>
      <c r="F2293" s="182"/>
      <c r="I2293" s="40"/>
      <c r="J2293" s="186"/>
      <c r="K2293" s="186"/>
      <c r="L2293" s="186"/>
      <c r="M2293" s="186"/>
      <c r="N2293" s="186"/>
      <c r="O2293" s="186"/>
      <c r="P2293" s="186"/>
      <c r="Q2293" s="182"/>
      <c r="R2293" s="182"/>
      <c r="S2293" s="182"/>
      <c r="T2293" s="186"/>
      <c r="U2293" s="186"/>
    </row>
    <row r="2294" spans="2:21" x14ac:dyDescent="0.2">
      <c r="B2294" s="182"/>
      <c r="C2294" s="182"/>
      <c r="D2294" s="182"/>
      <c r="E2294" s="182"/>
      <c r="F2294" s="182"/>
      <c r="I2294" s="40"/>
      <c r="J2294" s="186"/>
      <c r="K2294" s="186"/>
      <c r="L2294" s="186"/>
      <c r="M2294" s="186"/>
      <c r="N2294" s="186"/>
      <c r="O2294" s="186"/>
      <c r="P2294" s="186"/>
      <c r="Q2294" s="182"/>
      <c r="R2294" s="182"/>
      <c r="S2294" s="182"/>
      <c r="T2294" s="186"/>
      <c r="U2294" s="186"/>
    </row>
    <row r="2295" spans="2:21" x14ac:dyDescent="0.2">
      <c r="B2295" s="182"/>
      <c r="C2295" s="182"/>
      <c r="D2295" s="182"/>
      <c r="E2295" s="182"/>
      <c r="F2295" s="182"/>
      <c r="I2295" s="40"/>
      <c r="J2295" s="186"/>
      <c r="K2295" s="186"/>
      <c r="L2295" s="186"/>
      <c r="M2295" s="186"/>
      <c r="N2295" s="186"/>
      <c r="O2295" s="186"/>
      <c r="P2295" s="186"/>
      <c r="Q2295" s="182"/>
      <c r="R2295" s="182"/>
      <c r="S2295" s="182"/>
      <c r="T2295" s="186"/>
      <c r="U2295" s="186"/>
    </row>
    <row r="2296" spans="2:21" x14ac:dyDescent="0.2">
      <c r="B2296" s="182"/>
      <c r="C2296" s="182"/>
      <c r="D2296" s="182"/>
      <c r="E2296" s="182"/>
      <c r="F2296" s="182"/>
      <c r="I2296" s="40"/>
      <c r="J2296" s="186"/>
      <c r="K2296" s="186"/>
      <c r="L2296" s="186"/>
      <c r="M2296" s="186"/>
      <c r="N2296" s="186"/>
      <c r="O2296" s="186"/>
      <c r="P2296" s="186"/>
      <c r="Q2296" s="182"/>
      <c r="R2296" s="182"/>
      <c r="S2296" s="182"/>
      <c r="T2296" s="186"/>
      <c r="U2296" s="186"/>
    </row>
    <row r="2297" spans="2:21" x14ac:dyDescent="0.2">
      <c r="B2297" s="182"/>
      <c r="C2297" s="182"/>
      <c r="D2297" s="182"/>
      <c r="E2297" s="182"/>
      <c r="F2297" s="182"/>
      <c r="I2297" s="40"/>
      <c r="J2297" s="186"/>
      <c r="K2297" s="186"/>
      <c r="L2297" s="186"/>
      <c r="M2297" s="186"/>
      <c r="N2297" s="186"/>
      <c r="O2297" s="186"/>
      <c r="P2297" s="186"/>
      <c r="Q2297" s="182"/>
      <c r="R2297" s="182"/>
      <c r="S2297" s="182"/>
      <c r="T2297" s="186"/>
      <c r="U2297" s="186"/>
    </row>
    <row r="2298" spans="2:21" x14ac:dyDescent="0.2">
      <c r="B2298" s="182"/>
      <c r="C2298" s="182"/>
      <c r="D2298" s="182"/>
      <c r="E2298" s="182"/>
      <c r="F2298" s="182"/>
      <c r="I2298" s="40"/>
      <c r="J2298" s="186"/>
      <c r="K2298" s="186"/>
      <c r="L2298" s="186"/>
      <c r="M2298" s="186"/>
      <c r="N2298" s="186"/>
      <c r="O2298" s="186"/>
      <c r="P2298" s="186"/>
      <c r="Q2298" s="182"/>
      <c r="R2298" s="182"/>
      <c r="S2298" s="182"/>
      <c r="T2298" s="186"/>
      <c r="U2298" s="186"/>
    </row>
    <row r="2299" spans="2:21" x14ac:dyDescent="0.2">
      <c r="B2299" s="182"/>
      <c r="C2299" s="182"/>
      <c r="D2299" s="182"/>
      <c r="E2299" s="182"/>
      <c r="F2299" s="182"/>
      <c r="I2299" s="40"/>
      <c r="J2299" s="186"/>
      <c r="K2299" s="186"/>
      <c r="L2299" s="186"/>
      <c r="M2299" s="186"/>
      <c r="N2299" s="186"/>
      <c r="O2299" s="186"/>
      <c r="P2299" s="186"/>
      <c r="Q2299" s="182"/>
      <c r="R2299" s="182"/>
      <c r="S2299" s="182"/>
      <c r="T2299" s="186"/>
      <c r="U2299" s="186"/>
    </row>
    <row r="2300" spans="2:21" x14ac:dyDescent="0.2">
      <c r="B2300" s="182"/>
      <c r="C2300" s="182"/>
      <c r="D2300" s="182"/>
      <c r="E2300" s="182"/>
      <c r="F2300" s="182"/>
      <c r="I2300" s="40"/>
      <c r="J2300" s="186"/>
      <c r="K2300" s="186"/>
      <c r="L2300" s="186"/>
      <c r="M2300" s="186"/>
      <c r="N2300" s="186"/>
      <c r="O2300" s="186"/>
      <c r="P2300" s="186"/>
      <c r="Q2300" s="182"/>
      <c r="R2300" s="182"/>
      <c r="S2300" s="182"/>
      <c r="T2300" s="186"/>
      <c r="U2300" s="186"/>
    </row>
    <row r="2301" spans="2:21" x14ac:dyDescent="0.2">
      <c r="B2301" s="182"/>
      <c r="C2301" s="182"/>
      <c r="D2301" s="182"/>
      <c r="E2301" s="182"/>
      <c r="F2301" s="182"/>
      <c r="I2301" s="40"/>
      <c r="J2301" s="186"/>
      <c r="K2301" s="186"/>
      <c r="L2301" s="186"/>
      <c r="M2301" s="186"/>
      <c r="N2301" s="186"/>
      <c r="O2301" s="186"/>
      <c r="P2301" s="186"/>
      <c r="Q2301" s="182"/>
      <c r="R2301" s="182"/>
      <c r="S2301" s="182"/>
      <c r="T2301" s="186"/>
      <c r="U2301" s="186"/>
    </row>
    <row r="2302" spans="2:21" x14ac:dyDescent="0.2">
      <c r="B2302" s="182"/>
      <c r="C2302" s="182"/>
      <c r="D2302" s="182"/>
      <c r="E2302" s="182"/>
      <c r="F2302" s="182"/>
      <c r="I2302" s="40"/>
      <c r="J2302" s="186"/>
      <c r="K2302" s="186"/>
      <c r="L2302" s="186"/>
      <c r="M2302" s="186"/>
      <c r="N2302" s="186"/>
      <c r="O2302" s="186"/>
      <c r="P2302" s="186"/>
      <c r="Q2302" s="182"/>
      <c r="R2302" s="182"/>
      <c r="S2302" s="182"/>
      <c r="T2302" s="186"/>
      <c r="U2302" s="186"/>
    </row>
    <row r="2303" spans="2:21" x14ac:dyDescent="0.2">
      <c r="B2303" s="182"/>
      <c r="C2303" s="182"/>
      <c r="D2303" s="182"/>
      <c r="E2303" s="182"/>
      <c r="F2303" s="182"/>
      <c r="I2303" s="40"/>
      <c r="J2303" s="186"/>
      <c r="K2303" s="186"/>
      <c r="L2303" s="186"/>
      <c r="M2303" s="186"/>
      <c r="N2303" s="186"/>
      <c r="O2303" s="186"/>
      <c r="P2303" s="186"/>
      <c r="Q2303" s="182"/>
      <c r="R2303" s="182"/>
      <c r="S2303" s="182"/>
      <c r="T2303" s="186"/>
      <c r="U2303" s="186"/>
    </row>
    <row r="2304" spans="2:21" x14ac:dyDescent="0.2">
      <c r="B2304" s="182"/>
      <c r="C2304" s="182"/>
      <c r="D2304" s="182"/>
      <c r="E2304" s="182"/>
      <c r="F2304" s="182"/>
      <c r="I2304" s="40"/>
      <c r="J2304" s="186"/>
      <c r="K2304" s="186"/>
      <c r="L2304" s="186"/>
      <c r="M2304" s="186"/>
      <c r="N2304" s="186"/>
      <c r="O2304" s="186"/>
      <c r="P2304" s="186"/>
      <c r="Q2304" s="182"/>
      <c r="R2304" s="182"/>
      <c r="S2304" s="182"/>
      <c r="T2304" s="186"/>
      <c r="U2304" s="186"/>
    </row>
    <row r="2305" spans="2:21" x14ac:dyDescent="0.2">
      <c r="B2305" s="182"/>
      <c r="C2305" s="182"/>
      <c r="D2305" s="182"/>
      <c r="E2305" s="182"/>
      <c r="F2305" s="182"/>
      <c r="I2305" s="40"/>
      <c r="J2305" s="186"/>
      <c r="K2305" s="186"/>
      <c r="L2305" s="186"/>
      <c r="M2305" s="186"/>
      <c r="N2305" s="186"/>
      <c r="O2305" s="186"/>
      <c r="P2305" s="186"/>
      <c r="Q2305" s="182"/>
      <c r="R2305" s="182"/>
      <c r="S2305" s="182"/>
      <c r="T2305" s="186"/>
      <c r="U2305" s="186"/>
    </row>
    <row r="2306" spans="2:21" x14ac:dyDescent="0.2">
      <c r="B2306" s="182"/>
      <c r="C2306" s="182"/>
      <c r="D2306" s="182"/>
      <c r="E2306" s="182"/>
      <c r="F2306" s="182"/>
      <c r="I2306" s="40"/>
      <c r="J2306" s="186"/>
      <c r="K2306" s="186"/>
      <c r="L2306" s="186"/>
      <c r="M2306" s="186"/>
      <c r="N2306" s="186"/>
      <c r="O2306" s="186"/>
      <c r="P2306" s="186"/>
      <c r="Q2306" s="182"/>
      <c r="R2306" s="182"/>
      <c r="S2306" s="182"/>
      <c r="T2306" s="186"/>
      <c r="U2306" s="186"/>
    </row>
    <row r="2307" spans="2:21" x14ac:dyDescent="0.2">
      <c r="B2307" s="182"/>
      <c r="C2307" s="182"/>
      <c r="D2307" s="182"/>
      <c r="E2307" s="182"/>
      <c r="F2307" s="182"/>
      <c r="I2307" s="40"/>
      <c r="J2307" s="186"/>
      <c r="K2307" s="186"/>
      <c r="L2307" s="186"/>
      <c r="M2307" s="186"/>
      <c r="N2307" s="186"/>
      <c r="O2307" s="186"/>
      <c r="P2307" s="186"/>
      <c r="Q2307" s="182"/>
      <c r="R2307" s="182"/>
      <c r="S2307" s="182"/>
      <c r="T2307" s="186"/>
      <c r="U2307" s="186"/>
    </row>
    <row r="2308" spans="2:21" x14ac:dyDescent="0.2">
      <c r="B2308" s="182"/>
      <c r="C2308" s="182"/>
      <c r="D2308" s="182"/>
      <c r="E2308" s="182"/>
      <c r="F2308" s="182"/>
      <c r="I2308" s="40"/>
      <c r="J2308" s="186"/>
      <c r="K2308" s="186"/>
      <c r="L2308" s="186"/>
      <c r="M2308" s="186"/>
      <c r="N2308" s="186"/>
      <c r="O2308" s="186"/>
      <c r="P2308" s="186"/>
      <c r="Q2308" s="182"/>
      <c r="R2308" s="182"/>
      <c r="S2308" s="182"/>
      <c r="T2308" s="186"/>
      <c r="U2308" s="186"/>
    </row>
    <row r="2309" spans="2:21" x14ac:dyDescent="0.2">
      <c r="B2309" s="182"/>
      <c r="C2309" s="182"/>
      <c r="D2309" s="182"/>
      <c r="E2309" s="182"/>
      <c r="F2309" s="182"/>
      <c r="I2309" s="40"/>
      <c r="J2309" s="186"/>
      <c r="K2309" s="186"/>
      <c r="L2309" s="186"/>
      <c r="M2309" s="186"/>
      <c r="N2309" s="186"/>
      <c r="O2309" s="186"/>
      <c r="P2309" s="186"/>
      <c r="Q2309" s="182"/>
      <c r="R2309" s="182"/>
      <c r="S2309" s="182"/>
      <c r="T2309" s="186"/>
      <c r="U2309" s="186"/>
    </row>
    <row r="2310" spans="2:21" x14ac:dyDescent="0.2">
      <c r="B2310" s="182"/>
      <c r="C2310" s="182"/>
      <c r="D2310" s="182"/>
      <c r="E2310" s="182"/>
      <c r="F2310" s="182"/>
      <c r="I2310" s="40"/>
      <c r="J2310" s="186"/>
      <c r="K2310" s="186"/>
      <c r="L2310" s="186"/>
      <c r="M2310" s="186"/>
      <c r="N2310" s="186"/>
      <c r="O2310" s="186"/>
      <c r="P2310" s="186"/>
      <c r="Q2310" s="182"/>
      <c r="R2310" s="182"/>
      <c r="S2310" s="182"/>
      <c r="T2310" s="186"/>
      <c r="U2310" s="186"/>
    </row>
    <row r="2311" spans="2:21" x14ac:dyDescent="0.2">
      <c r="B2311" s="182"/>
      <c r="C2311" s="182"/>
      <c r="D2311" s="182"/>
      <c r="E2311" s="182"/>
      <c r="F2311" s="182"/>
      <c r="I2311" s="40"/>
      <c r="J2311" s="186"/>
      <c r="K2311" s="186"/>
      <c r="L2311" s="186"/>
      <c r="M2311" s="186"/>
      <c r="N2311" s="186"/>
      <c r="O2311" s="186"/>
      <c r="P2311" s="186"/>
      <c r="Q2311" s="182"/>
      <c r="R2311" s="182"/>
      <c r="S2311" s="182"/>
      <c r="T2311" s="186"/>
      <c r="U2311" s="186"/>
    </row>
    <row r="2312" spans="2:21" x14ac:dyDescent="0.2">
      <c r="B2312" s="182"/>
      <c r="C2312" s="182"/>
      <c r="D2312" s="182"/>
      <c r="E2312" s="182"/>
      <c r="F2312" s="182"/>
      <c r="I2312" s="40"/>
      <c r="J2312" s="186"/>
      <c r="K2312" s="186"/>
      <c r="L2312" s="186"/>
      <c r="M2312" s="186"/>
      <c r="N2312" s="186"/>
      <c r="O2312" s="186"/>
      <c r="P2312" s="186"/>
      <c r="Q2312" s="182"/>
      <c r="R2312" s="182"/>
      <c r="S2312" s="182"/>
      <c r="T2312" s="186"/>
      <c r="U2312" s="186"/>
    </row>
    <row r="2313" spans="2:21" x14ac:dyDescent="0.2">
      <c r="B2313" s="182"/>
      <c r="C2313" s="182"/>
      <c r="D2313" s="182"/>
      <c r="E2313" s="182"/>
      <c r="F2313" s="182"/>
      <c r="I2313" s="40"/>
      <c r="J2313" s="186"/>
      <c r="K2313" s="186"/>
      <c r="L2313" s="186"/>
      <c r="M2313" s="186"/>
      <c r="N2313" s="186"/>
      <c r="O2313" s="186"/>
      <c r="P2313" s="186"/>
      <c r="Q2313" s="182"/>
      <c r="R2313" s="182"/>
      <c r="S2313" s="182"/>
      <c r="T2313" s="186"/>
      <c r="U2313" s="186"/>
    </row>
    <row r="2314" spans="2:21" x14ac:dyDescent="0.2">
      <c r="B2314" s="182"/>
      <c r="C2314" s="182"/>
      <c r="D2314" s="182"/>
      <c r="E2314" s="182"/>
      <c r="F2314" s="182"/>
      <c r="I2314" s="40"/>
      <c r="J2314" s="186"/>
      <c r="K2314" s="186"/>
      <c r="L2314" s="186"/>
      <c r="M2314" s="186"/>
      <c r="N2314" s="186"/>
      <c r="O2314" s="186"/>
      <c r="P2314" s="186"/>
      <c r="Q2314" s="182"/>
      <c r="R2314" s="182"/>
      <c r="S2314" s="182"/>
      <c r="T2314" s="186"/>
      <c r="U2314" s="186"/>
    </row>
    <row r="2315" spans="2:21" x14ac:dyDescent="0.2">
      <c r="B2315" s="182"/>
      <c r="C2315" s="182"/>
      <c r="D2315" s="182"/>
      <c r="E2315" s="182"/>
      <c r="F2315" s="182"/>
      <c r="I2315" s="40"/>
      <c r="J2315" s="186"/>
      <c r="K2315" s="186"/>
      <c r="L2315" s="186"/>
      <c r="M2315" s="186"/>
      <c r="N2315" s="186"/>
      <c r="O2315" s="186"/>
      <c r="P2315" s="186"/>
      <c r="Q2315" s="182"/>
      <c r="R2315" s="182"/>
      <c r="S2315" s="182"/>
      <c r="T2315" s="186"/>
      <c r="U2315" s="186"/>
    </row>
    <row r="2316" spans="2:21" x14ac:dyDescent="0.2">
      <c r="B2316" s="182"/>
      <c r="C2316" s="182"/>
      <c r="D2316" s="182"/>
      <c r="E2316" s="182"/>
      <c r="F2316" s="182"/>
      <c r="I2316" s="40"/>
      <c r="J2316" s="186"/>
      <c r="K2316" s="186"/>
      <c r="L2316" s="186"/>
      <c r="M2316" s="186"/>
      <c r="N2316" s="186"/>
      <c r="O2316" s="186"/>
      <c r="P2316" s="186"/>
      <c r="Q2316" s="182"/>
      <c r="R2316" s="182"/>
      <c r="S2316" s="182"/>
      <c r="T2316" s="186"/>
      <c r="U2316" s="186"/>
    </row>
    <row r="2317" spans="2:21" x14ac:dyDescent="0.2">
      <c r="B2317" s="182"/>
      <c r="C2317" s="182"/>
      <c r="D2317" s="182"/>
      <c r="E2317" s="182"/>
      <c r="F2317" s="182"/>
      <c r="I2317" s="40"/>
      <c r="J2317" s="186"/>
      <c r="K2317" s="186"/>
      <c r="L2317" s="186"/>
      <c r="M2317" s="186"/>
      <c r="N2317" s="186"/>
      <c r="O2317" s="186"/>
      <c r="P2317" s="186"/>
      <c r="Q2317" s="182"/>
      <c r="R2317" s="182"/>
      <c r="S2317" s="182"/>
      <c r="T2317" s="186"/>
      <c r="U2317" s="186"/>
    </row>
    <row r="2318" spans="2:21" x14ac:dyDescent="0.2">
      <c r="B2318" s="182"/>
      <c r="C2318" s="182"/>
      <c r="D2318" s="182"/>
      <c r="E2318" s="182"/>
      <c r="F2318" s="182"/>
      <c r="I2318" s="40"/>
      <c r="J2318" s="186"/>
      <c r="K2318" s="186"/>
      <c r="L2318" s="186"/>
      <c r="M2318" s="186"/>
      <c r="N2318" s="186"/>
      <c r="O2318" s="186"/>
      <c r="P2318" s="186"/>
      <c r="Q2318" s="182"/>
      <c r="R2318" s="182"/>
      <c r="S2318" s="182"/>
      <c r="T2318" s="186"/>
      <c r="U2318" s="186"/>
    </row>
    <row r="2319" spans="2:21" x14ac:dyDescent="0.2">
      <c r="B2319" s="182"/>
      <c r="C2319" s="182"/>
      <c r="D2319" s="182"/>
      <c r="E2319" s="182"/>
      <c r="F2319" s="182"/>
      <c r="I2319" s="40"/>
      <c r="J2319" s="186"/>
      <c r="K2319" s="186"/>
      <c r="L2319" s="186"/>
      <c r="M2319" s="186"/>
      <c r="N2319" s="186"/>
      <c r="O2319" s="186"/>
      <c r="P2319" s="186"/>
      <c r="Q2319" s="182"/>
      <c r="R2319" s="182"/>
      <c r="S2319" s="182"/>
      <c r="T2319" s="186"/>
      <c r="U2319" s="186"/>
    </row>
    <row r="2320" spans="2:21" x14ac:dyDescent="0.2">
      <c r="B2320" s="182"/>
      <c r="C2320" s="182"/>
      <c r="D2320" s="182"/>
      <c r="E2320" s="182"/>
      <c r="F2320" s="182"/>
      <c r="I2320" s="40"/>
      <c r="J2320" s="186"/>
      <c r="K2320" s="186"/>
      <c r="L2320" s="186"/>
      <c r="M2320" s="186"/>
      <c r="N2320" s="186"/>
      <c r="O2320" s="186"/>
      <c r="P2320" s="186"/>
      <c r="Q2320" s="182"/>
      <c r="R2320" s="182"/>
      <c r="S2320" s="182"/>
      <c r="T2320" s="186"/>
      <c r="U2320" s="186"/>
    </row>
    <row r="2321" spans="2:21" x14ac:dyDescent="0.2">
      <c r="B2321" s="182"/>
      <c r="C2321" s="182"/>
      <c r="D2321" s="182"/>
      <c r="E2321" s="182"/>
      <c r="F2321" s="182"/>
      <c r="I2321" s="40"/>
      <c r="J2321" s="186"/>
      <c r="K2321" s="186"/>
      <c r="L2321" s="186"/>
      <c r="M2321" s="186"/>
      <c r="N2321" s="186"/>
      <c r="O2321" s="186"/>
      <c r="P2321" s="186"/>
      <c r="Q2321" s="182"/>
      <c r="R2321" s="182"/>
      <c r="S2321" s="182"/>
      <c r="T2321" s="186"/>
      <c r="U2321" s="186"/>
    </row>
    <row r="2322" spans="2:21" x14ac:dyDescent="0.2">
      <c r="B2322" s="182"/>
      <c r="C2322" s="182"/>
      <c r="D2322" s="182"/>
      <c r="E2322" s="182"/>
      <c r="F2322" s="182"/>
      <c r="I2322" s="40"/>
      <c r="J2322" s="186"/>
      <c r="K2322" s="186"/>
      <c r="L2322" s="186"/>
      <c r="M2322" s="186"/>
      <c r="N2322" s="186"/>
      <c r="O2322" s="186"/>
      <c r="P2322" s="186"/>
      <c r="Q2322" s="182"/>
      <c r="R2322" s="182"/>
      <c r="S2322" s="182"/>
      <c r="T2322" s="186"/>
      <c r="U2322" s="186"/>
    </row>
    <row r="2323" spans="2:21" x14ac:dyDescent="0.2">
      <c r="B2323" s="182"/>
      <c r="C2323" s="182"/>
      <c r="D2323" s="182"/>
      <c r="E2323" s="182"/>
      <c r="F2323" s="182"/>
      <c r="I2323" s="40"/>
      <c r="J2323" s="186"/>
      <c r="K2323" s="186"/>
      <c r="L2323" s="186"/>
      <c r="M2323" s="186"/>
      <c r="N2323" s="186"/>
      <c r="O2323" s="186"/>
      <c r="P2323" s="186"/>
      <c r="Q2323" s="182"/>
      <c r="R2323" s="182"/>
      <c r="S2323" s="182"/>
      <c r="T2323" s="186"/>
      <c r="U2323" s="186"/>
    </row>
    <row r="2324" spans="2:21" x14ac:dyDescent="0.2">
      <c r="B2324" s="182"/>
      <c r="C2324" s="182"/>
      <c r="D2324" s="182"/>
      <c r="E2324" s="182"/>
      <c r="F2324" s="182"/>
      <c r="I2324" s="40"/>
      <c r="J2324" s="186"/>
      <c r="K2324" s="186"/>
      <c r="L2324" s="186"/>
      <c r="M2324" s="186"/>
      <c r="N2324" s="186"/>
      <c r="O2324" s="186"/>
      <c r="P2324" s="186"/>
      <c r="Q2324" s="182"/>
      <c r="R2324" s="182"/>
      <c r="S2324" s="182"/>
      <c r="T2324" s="186"/>
      <c r="U2324" s="186"/>
    </row>
    <row r="2325" spans="2:21" x14ac:dyDescent="0.2">
      <c r="B2325" s="182"/>
      <c r="C2325" s="182"/>
      <c r="D2325" s="182"/>
      <c r="E2325" s="182"/>
      <c r="F2325" s="182"/>
      <c r="I2325" s="40"/>
      <c r="J2325" s="186"/>
      <c r="K2325" s="186"/>
      <c r="L2325" s="186"/>
      <c r="M2325" s="186"/>
      <c r="N2325" s="186"/>
      <c r="O2325" s="186"/>
      <c r="P2325" s="186"/>
      <c r="Q2325" s="182"/>
      <c r="R2325" s="182"/>
      <c r="S2325" s="182"/>
      <c r="T2325" s="186"/>
      <c r="U2325" s="186"/>
    </row>
    <row r="2326" spans="2:21" x14ac:dyDescent="0.2">
      <c r="B2326" s="182"/>
      <c r="C2326" s="182"/>
      <c r="D2326" s="182"/>
      <c r="E2326" s="182"/>
      <c r="F2326" s="182"/>
      <c r="I2326" s="40"/>
      <c r="J2326" s="186"/>
      <c r="K2326" s="186"/>
      <c r="L2326" s="186"/>
      <c r="M2326" s="186"/>
      <c r="N2326" s="186"/>
      <c r="O2326" s="186"/>
      <c r="P2326" s="186"/>
      <c r="Q2326" s="182"/>
      <c r="R2326" s="182"/>
      <c r="S2326" s="182"/>
      <c r="T2326" s="186"/>
      <c r="U2326" s="186"/>
    </row>
    <row r="2327" spans="2:21" x14ac:dyDescent="0.2">
      <c r="B2327" s="182"/>
      <c r="C2327" s="182"/>
      <c r="D2327" s="182"/>
      <c r="E2327" s="182"/>
      <c r="F2327" s="182"/>
      <c r="I2327" s="40"/>
      <c r="J2327" s="186"/>
      <c r="K2327" s="186"/>
      <c r="L2327" s="186"/>
      <c r="M2327" s="186"/>
      <c r="N2327" s="186"/>
      <c r="O2327" s="186"/>
      <c r="P2327" s="186"/>
      <c r="Q2327" s="182"/>
      <c r="R2327" s="182"/>
      <c r="S2327" s="182"/>
      <c r="T2327" s="186"/>
      <c r="U2327" s="186"/>
    </row>
    <row r="2328" spans="2:21" x14ac:dyDescent="0.2">
      <c r="B2328" s="182"/>
      <c r="C2328" s="182"/>
      <c r="D2328" s="182"/>
      <c r="E2328" s="182"/>
      <c r="F2328" s="182"/>
      <c r="I2328" s="40"/>
      <c r="J2328" s="186"/>
      <c r="K2328" s="186"/>
      <c r="L2328" s="186"/>
      <c r="M2328" s="186"/>
      <c r="N2328" s="186"/>
      <c r="O2328" s="186"/>
      <c r="P2328" s="186"/>
      <c r="Q2328" s="182"/>
      <c r="R2328" s="182"/>
      <c r="S2328" s="182"/>
      <c r="T2328" s="186"/>
      <c r="U2328" s="186"/>
    </row>
    <row r="2329" spans="2:21" x14ac:dyDescent="0.2">
      <c r="B2329" s="182"/>
      <c r="C2329" s="182"/>
      <c r="D2329" s="182"/>
      <c r="E2329" s="182"/>
      <c r="F2329" s="182"/>
      <c r="I2329" s="40"/>
      <c r="J2329" s="186"/>
      <c r="K2329" s="186"/>
      <c r="L2329" s="186"/>
      <c r="M2329" s="186"/>
      <c r="N2329" s="186"/>
      <c r="O2329" s="186"/>
      <c r="P2329" s="186"/>
      <c r="Q2329" s="182"/>
      <c r="R2329" s="182"/>
      <c r="S2329" s="182"/>
      <c r="T2329" s="186"/>
      <c r="U2329" s="186"/>
    </row>
    <row r="2330" spans="2:21" x14ac:dyDescent="0.2">
      <c r="B2330" s="182"/>
      <c r="C2330" s="182"/>
      <c r="D2330" s="182"/>
      <c r="E2330" s="182"/>
      <c r="F2330" s="182"/>
      <c r="I2330" s="40"/>
      <c r="J2330" s="186"/>
      <c r="K2330" s="186"/>
      <c r="L2330" s="186"/>
      <c r="M2330" s="186"/>
      <c r="N2330" s="186"/>
      <c r="O2330" s="186"/>
      <c r="P2330" s="186"/>
      <c r="Q2330" s="182"/>
      <c r="R2330" s="182"/>
      <c r="S2330" s="182"/>
      <c r="T2330" s="186"/>
      <c r="U2330" s="186"/>
    </row>
    <row r="2331" spans="2:21" x14ac:dyDescent="0.2">
      <c r="B2331" s="182"/>
      <c r="C2331" s="182"/>
      <c r="D2331" s="182"/>
      <c r="E2331" s="182"/>
      <c r="F2331" s="182"/>
      <c r="I2331" s="40"/>
      <c r="J2331" s="186"/>
      <c r="K2331" s="186"/>
      <c r="L2331" s="186"/>
      <c r="M2331" s="186"/>
      <c r="N2331" s="186"/>
      <c r="O2331" s="186"/>
      <c r="P2331" s="186"/>
      <c r="Q2331" s="182"/>
      <c r="R2331" s="182"/>
      <c r="S2331" s="182"/>
      <c r="T2331" s="186"/>
      <c r="U2331" s="186"/>
    </row>
    <row r="2332" spans="2:21" x14ac:dyDescent="0.2">
      <c r="B2332" s="182"/>
      <c r="C2332" s="182"/>
      <c r="D2332" s="182"/>
      <c r="E2332" s="182"/>
      <c r="F2332" s="182"/>
      <c r="I2332" s="40"/>
      <c r="J2332" s="186"/>
      <c r="K2332" s="186"/>
      <c r="L2332" s="186"/>
      <c r="M2332" s="186"/>
      <c r="N2332" s="186"/>
      <c r="O2332" s="186"/>
      <c r="P2332" s="186"/>
      <c r="Q2332" s="182"/>
      <c r="R2332" s="182"/>
      <c r="S2332" s="182"/>
      <c r="T2332" s="186"/>
      <c r="U2332" s="186"/>
    </row>
    <row r="2333" spans="2:21" x14ac:dyDescent="0.2">
      <c r="B2333" s="182"/>
      <c r="C2333" s="182"/>
      <c r="D2333" s="182"/>
      <c r="E2333" s="182"/>
      <c r="F2333" s="182"/>
      <c r="I2333" s="40"/>
      <c r="J2333" s="186"/>
      <c r="K2333" s="186"/>
      <c r="L2333" s="186"/>
      <c r="M2333" s="186"/>
      <c r="N2333" s="186"/>
      <c r="O2333" s="186"/>
      <c r="P2333" s="186"/>
      <c r="Q2333" s="182"/>
      <c r="R2333" s="182"/>
      <c r="S2333" s="182"/>
      <c r="T2333" s="186"/>
      <c r="U2333" s="186"/>
    </row>
    <row r="2334" spans="2:21" x14ac:dyDescent="0.2">
      <c r="B2334" s="182"/>
      <c r="C2334" s="182"/>
      <c r="D2334" s="182"/>
      <c r="E2334" s="182"/>
      <c r="F2334" s="182"/>
      <c r="I2334" s="40"/>
      <c r="J2334" s="186"/>
      <c r="K2334" s="186"/>
      <c r="L2334" s="186"/>
      <c r="M2334" s="186"/>
      <c r="N2334" s="186"/>
      <c r="O2334" s="186"/>
      <c r="P2334" s="186"/>
      <c r="Q2334" s="182"/>
      <c r="R2334" s="182"/>
      <c r="S2334" s="182"/>
      <c r="T2334" s="186"/>
      <c r="U2334" s="186"/>
    </row>
    <row r="2335" spans="2:21" x14ac:dyDescent="0.2">
      <c r="B2335" s="182"/>
      <c r="C2335" s="182"/>
      <c r="D2335" s="182"/>
      <c r="E2335" s="182"/>
      <c r="F2335" s="182"/>
      <c r="I2335" s="40"/>
      <c r="J2335" s="186"/>
      <c r="K2335" s="186"/>
      <c r="L2335" s="186"/>
      <c r="M2335" s="186"/>
      <c r="N2335" s="186"/>
      <c r="O2335" s="186"/>
      <c r="P2335" s="186"/>
      <c r="Q2335" s="182"/>
      <c r="R2335" s="182"/>
      <c r="S2335" s="182"/>
      <c r="T2335" s="186"/>
      <c r="U2335" s="186"/>
    </row>
    <row r="2336" spans="2:21" x14ac:dyDescent="0.2">
      <c r="B2336" s="182"/>
      <c r="C2336" s="182"/>
      <c r="D2336" s="182"/>
      <c r="E2336" s="182"/>
      <c r="F2336" s="182"/>
      <c r="I2336" s="40"/>
      <c r="J2336" s="186"/>
      <c r="K2336" s="186"/>
      <c r="L2336" s="186"/>
      <c r="M2336" s="186"/>
      <c r="N2336" s="186"/>
      <c r="O2336" s="186"/>
      <c r="P2336" s="186"/>
      <c r="Q2336" s="182"/>
      <c r="R2336" s="182"/>
      <c r="S2336" s="182"/>
      <c r="T2336" s="186"/>
      <c r="U2336" s="186"/>
    </row>
    <row r="2337" spans="2:21" x14ac:dyDescent="0.2">
      <c r="B2337" s="182"/>
      <c r="C2337" s="182"/>
      <c r="D2337" s="182"/>
      <c r="E2337" s="182"/>
      <c r="F2337" s="182"/>
      <c r="I2337" s="40"/>
      <c r="J2337" s="186"/>
      <c r="K2337" s="186"/>
      <c r="L2337" s="186"/>
      <c r="M2337" s="186"/>
      <c r="N2337" s="186"/>
      <c r="O2337" s="186"/>
      <c r="P2337" s="186"/>
      <c r="Q2337" s="182"/>
      <c r="R2337" s="182"/>
      <c r="S2337" s="182"/>
      <c r="T2337" s="186"/>
      <c r="U2337" s="186"/>
    </row>
    <row r="2338" spans="2:21" x14ac:dyDescent="0.2">
      <c r="B2338" s="182"/>
      <c r="C2338" s="182"/>
      <c r="D2338" s="182"/>
      <c r="E2338" s="182"/>
      <c r="F2338" s="182"/>
      <c r="I2338" s="40"/>
      <c r="J2338" s="186"/>
      <c r="K2338" s="186"/>
      <c r="L2338" s="186"/>
      <c r="M2338" s="186"/>
      <c r="N2338" s="186"/>
      <c r="O2338" s="186"/>
      <c r="P2338" s="186"/>
      <c r="Q2338" s="182"/>
      <c r="R2338" s="182"/>
      <c r="S2338" s="182"/>
      <c r="T2338" s="186"/>
      <c r="U2338" s="186"/>
    </row>
    <row r="2339" spans="2:21" x14ac:dyDescent="0.2">
      <c r="B2339" s="182"/>
      <c r="C2339" s="182"/>
      <c r="D2339" s="182"/>
      <c r="E2339" s="182"/>
      <c r="F2339" s="182"/>
      <c r="I2339" s="40"/>
      <c r="J2339" s="186"/>
      <c r="K2339" s="186"/>
      <c r="L2339" s="186"/>
      <c r="M2339" s="186"/>
      <c r="N2339" s="186"/>
      <c r="O2339" s="186"/>
      <c r="P2339" s="186"/>
      <c r="Q2339" s="182"/>
      <c r="R2339" s="182"/>
      <c r="S2339" s="182"/>
      <c r="T2339" s="186"/>
      <c r="U2339" s="186"/>
    </row>
    <row r="2340" spans="2:21" x14ac:dyDescent="0.2">
      <c r="B2340" s="182"/>
      <c r="C2340" s="182"/>
      <c r="D2340" s="182"/>
      <c r="E2340" s="182"/>
      <c r="F2340" s="182"/>
      <c r="I2340" s="40"/>
      <c r="J2340" s="186"/>
      <c r="K2340" s="186"/>
      <c r="L2340" s="186"/>
      <c r="M2340" s="186"/>
      <c r="N2340" s="186"/>
      <c r="O2340" s="186"/>
      <c r="P2340" s="186"/>
      <c r="Q2340" s="182"/>
      <c r="R2340" s="182"/>
      <c r="S2340" s="182"/>
      <c r="T2340" s="186"/>
      <c r="U2340" s="186"/>
    </row>
    <row r="2341" spans="2:21" x14ac:dyDescent="0.2">
      <c r="B2341" s="182"/>
      <c r="C2341" s="182"/>
      <c r="D2341" s="182"/>
      <c r="E2341" s="182"/>
      <c r="F2341" s="182"/>
      <c r="I2341" s="40"/>
      <c r="J2341" s="186"/>
      <c r="K2341" s="186"/>
      <c r="L2341" s="186"/>
      <c r="M2341" s="186"/>
      <c r="N2341" s="186"/>
      <c r="O2341" s="186"/>
      <c r="P2341" s="186"/>
      <c r="Q2341" s="182"/>
      <c r="R2341" s="182"/>
      <c r="S2341" s="182"/>
      <c r="T2341" s="186"/>
      <c r="U2341" s="186"/>
    </row>
    <row r="2342" spans="2:21" x14ac:dyDescent="0.2">
      <c r="B2342" s="182"/>
      <c r="C2342" s="182"/>
      <c r="D2342" s="182"/>
      <c r="E2342" s="182"/>
      <c r="F2342" s="182"/>
      <c r="I2342" s="40"/>
      <c r="J2342" s="186"/>
      <c r="K2342" s="186"/>
      <c r="L2342" s="186"/>
      <c r="M2342" s="186"/>
      <c r="N2342" s="186"/>
      <c r="O2342" s="186"/>
      <c r="P2342" s="186"/>
      <c r="Q2342" s="182"/>
      <c r="R2342" s="182"/>
      <c r="S2342" s="182"/>
      <c r="T2342" s="186"/>
      <c r="U2342" s="186"/>
    </row>
    <row r="2343" spans="2:21" x14ac:dyDescent="0.2">
      <c r="B2343" s="182"/>
      <c r="C2343" s="182"/>
      <c r="D2343" s="182"/>
      <c r="E2343" s="182"/>
      <c r="F2343" s="182"/>
      <c r="I2343" s="40"/>
      <c r="J2343" s="186"/>
      <c r="K2343" s="186"/>
      <c r="L2343" s="186"/>
      <c r="M2343" s="186"/>
      <c r="N2343" s="186"/>
      <c r="O2343" s="186"/>
      <c r="P2343" s="186"/>
      <c r="Q2343" s="182"/>
      <c r="R2343" s="182"/>
      <c r="S2343" s="182"/>
      <c r="T2343" s="186"/>
      <c r="U2343" s="186"/>
    </row>
    <row r="2344" spans="2:21" x14ac:dyDescent="0.2">
      <c r="B2344" s="182"/>
      <c r="C2344" s="182"/>
      <c r="D2344" s="182"/>
      <c r="E2344" s="182"/>
      <c r="F2344" s="182"/>
      <c r="I2344" s="40"/>
      <c r="J2344" s="186"/>
      <c r="K2344" s="186"/>
      <c r="L2344" s="186"/>
      <c r="M2344" s="186"/>
      <c r="N2344" s="186"/>
      <c r="O2344" s="186"/>
      <c r="P2344" s="186"/>
      <c r="Q2344" s="182"/>
      <c r="R2344" s="182"/>
      <c r="S2344" s="182"/>
      <c r="T2344" s="186"/>
      <c r="U2344" s="186"/>
    </row>
    <row r="2345" spans="2:21" x14ac:dyDescent="0.2">
      <c r="B2345" s="182"/>
      <c r="C2345" s="182"/>
      <c r="D2345" s="182"/>
      <c r="E2345" s="182"/>
      <c r="F2345" s="182"/>
      <c r="I2345" s="40"/>
      <c r="J2345" s="186"/>
      <c r="K2345" s="186"/>
      <c r="L2345" s="186"/>
      <c r="M2345" s="186"/>
      <c r="N2345" s="186"/>
      <c r="O2345" s="186"/>
      <c r="P2345" s="186"/>
      <c r="Q2345" s="182"/>
      <c r="R2345" s="182"/>
      <c r="S2345" s="182"/>
      <c r="T2345" s="186"/>
      <c r="U2345" s="186"/>
    </row>
    <row r="2346" spans="2:21" x14ac:dyDescent="0.2">
      <c r="B2346" s="182"/>
      <c r="C2346" s="182"/>
      <c r="D2346" s="182"/>
      <c r="E2346" s="182"/>
      <c r="F2346" s="182"/>
      <c r="I2346" s="40"/>
      <c r="J2346" s="186"/>
      <c r="K2346" s="186"/>
      <c r="L2346" s="186"/>
      <c r="M2346" s="186"/>
      <c r="N2346" s="186"/>
      <c r="O2346" s="186"/>
      <c r="P2346" s="186"/>
      <c r="Q2346" s="182"/>
      <c r="R2346" s="182"/>
      <c r="S2346" s="182"/>
      <c r="T2346" s="186"/>
      <c r="U2346" s="186"/>
    </row>
    <row r="2347" spans="2:21" x14ac:dyDescent="0.2">
      <c r="B2347" s="182"/>
      <c r="C2347" s="182"/>
      <c r="D2347" s="182"/>
      <c r="E2347" s="182"/>
      <c r="F2347" s="182"/>
      <c r="I2347" s="40"/>
      <c r="J2347" s="186"/>
      <c r="K2347" s="186"/>
      <c r="L2347" s="186"/>
      <c r="M2347" s="186"/>
      <c r="N2347" s="186"/>
      <c r="O2347" s="186"/>
      <c r="P2347" s="186"/>
      <c r="Q2347" s="182"/>
      <c r="R2347" s="182"/>
      <c r="S2347" s="182"/>
      <c r="T2347" s="186"/>
      <c r="U2347" s="186"/>
    </row>
    <row r="2348" spans="2:21" x14ac:dyDescent="0.2">
      <c r="B2348" s="182"/>
      <c r="C2348" s="182"/>
      <c r="D2348" s="182"/>
      <c r="E2348" s="182"/>
      <c r="F2348" s="182"/>
      <c r="I2348" s="40"/>
      <c r="J2348" s="186"/>
      <c r="K2348" s="186"/>
      <c r="L2348" s="186"/>
      <c r="M2348" s="186"/>
      <c r="N2348" s="186"/>
      <c r="O2348" s="186"/>
      <c r="P2348" s="186"/>
      <c r="Q2348" s="182"/>
      <c r="R2348" s="182"/>
      <c r="S2348" s="182"/>
      <c r="T2348" s="186"/>
      <c r="U2348" s="186"/>
    </row>
    <row r="2349" spans="2:21" x14ac:dyDescent="0.2">
      <c r="B2349" s="182"/>
      <c r="C2349" s="182"/>
      <c r="D2349" s="182"/>
      <c r="E2349" s="182"/>
      <c r="F2349" s="182"/>
      <c r="I2349" s="40"/>
      <c r="J2349" s="186"/>
      <c r="K2349" s="186"/>
      <c r="L2349" s="186"/>
      <c r="M2349" s="186"/>
      <c r="N2349" s="186"/>
      <c r="O2349" s="186"/>
      <c r="P2349" s="186"/>
      <c r="Q2349" s="182"/>
      <c r="R2349" s="182"/>
      <c r="S2349" s="182"/>
      <c r="T2349" s="186"/>
      <c r="U2349" s="186"/>
    </row>
    <row r="2350" spans="2:21" x14ac:dyDescent="0.2">
      <c r="B2350" s="182"/>
      <c r="C2350" s="182"/>
      <c r="D2350" s="182"/>
      <c r="E2350" s="182"/>
      <c r="F2350" s="182"/>
      <c r="I2350" s="40"/>
      <c r="J2350" s="186"/>
      <c r="K2350" s="186"/>
      <c r="L2350" s="186"/>
      <c r="M2350" s="186"/>
      <c r="N2350" s="186"/>
      <c r="O2350" s="186"/>
      <c r="P2350" s="186"/>
      <c r="Q2350" s="182"/>
      <c r="R2350" s="182"/>
      <c r="S2350" s="182"/>
      <c r="T2350" s="186"/>
      <c r="U2350" s="186"/>
    </row>
    <row r="2351" spans="2:21" x14ac:dyDescent="0.2">
      <c r="B2351" s="182"/>
      <c r="C2351" s="182"/>
      <c r="D2351" s="182"/>
      <c r="E2351" s="182"/>
      <c r="F2351" s="182"/>
      <c r="I2351" s="40"/>
      <c r="J2351" s="186"/>
      <c r="K2351" s="186"/>
      <c r="L2351" s="186"/>
      <c r="M2351" s="186"/>
      <c r="N2351" s="186"/>
      <c r="O2351" s="186"/>
      <c r="P2351" s="186"/>
      <c r="Q2351" s="182"/>
      <c r="R2351" s="182"/>
      <c r="S2351" s="182"/>
      <c r="T2351" s="186"/>
      <c r="U2351" s="186"/>
    </row>
    <row r="2352" spans="2:21" x14ac:dyDescent="0.2">
      <c r="B2352" s="182"/>
      <c r="C2352" s="182"/>
      <c r="D2352" s="182"/>
      <c r="E2352" s="182"/>
      <c r="F2352" s="182"/>
      <c r="I2352" s="40"/>
      <c r="J2352" s="186"/>
      <c r="K2352" s="186"/>
      <c r="L2352" s="186"/>
      <c r="M2352" s="186"/>
      <c r="N2352" s="186"/>
      <c r="O2352" s="186"/>
      <c r="P2352" s="186"/>
      <c r="Q2352" s="182"/>
      <c r="R2352" s="182"/>
      <c r="S2352" s="182"/>
      <c r="T2352" s="186"/>
      <c r="U2352" s="186"/>
    </row>
    <row r="2353" spans="2:21" x14ac:dyDescent="0.2">
      <c r="B2353" s="182"/>
      <c r="C2353" s="182"/>
      <c r="D2353" s="182"/>
      <c r="E2353" s="182"/>
      <c r="F2353" s="182"/>
      <c r="I2353" s="40"/>
      <c r="J2353" s="186"/>
      <c r="K2353" s="186"/>
      <c r="L2353" s="186"/>
      <c r="M2353" s="186"/>
      <c r="N2353" s="186"/>
      <c r="O2353" s="186"/>
      <c r="P2353" s="186"/>
      <c r="Q2353" s="182"/>
      <c r="R2353" s="182"/>
      <c r="S2353" s="182"/>
      <c r="T2353" s="186"/>
      <c r="U2353" s="186"/>
    </row>
    <row r="2354" spans="2:21" x14ac:dyDescent="0.2">
      <c r="B2354" s="182"/>
      <c r="C2354" s="182"/>
      <c r="D2354" s="182"/>
      <c r="E2354" s="182"/>
      <c r="F2354" s="182"/>
      <c r="I2354" s="40"/>
      <c r="J2354" s="186"/>
      <c r="K2354" s="186"/>
      <c r="L2354" s="186"/>
      <c r="M2354" s="186"/>
      <c r="N2354" s="186"/>
      <c r="O2354" s="186"/>
      <c r="P2354" s="186"/>
      <c r="Q2354" s="182"/>
      <c r="R2354" s="182"/>
      <c r="S2354" s="182"/>
      <c r="T2354" s="186"/>
      <c r="U2354" s="186"/>
    </row>
    <row r="2355" spans="2:21" x14ac:dyDescent="0.2">
      <c r="B2355" s="182"/>
      <c r="C2355" s="182"/>
      <c r="D2355" s="182"/>
      <c r="E2355" s="182"/>
      <c r="F2355" s="182"/>
      <c r="I2355" s="40"/>
      <c r="J2355" s="186"/>
      <c r="K2355" s="186"/>
      <c r="L2355" s="186"/>
      <c r="M2355" s="186"/>
      <c r="N2355" s="186"/>
      <c r="O2355" s="186"/>
      <c r="P2355" s="186"/>
      <c r="Q2355" s="182"/>
      <c r="R2355" s="182"/>
      <c r="S2355" s="182"/>
      <c r="T2355" s="186"/>
      <c r="U2355" s="186"/>
    </row>
    <row r="2356" spans="2:21" x14ac:dyDescent="0.2">
      <c r="B2356" s="182"/>
      <c r="C2356" s="182"/>
      <c r="D2356" s="182"/>
      <c r="E2356" s="182"/>
      <c r="F2356" s="182"/>
      <c r="I2356" s="40"/>
      <c r="J2356" s="186"/>
      <c r="K2356" s="186"/>
      <c r="L2356" s="186"/>
      <c r="M2356" s="186"/>
      <c r="N2356" s="186"/>
      <c r="O2356" s="186"/>
      <c r="P2356" s="186"/>
      <c r="Q2356" s="182"/>
      <c r="R2356" s="182"/>
      <c r="S2356" s="182"/>
      <c r="T2356" s="186"/>
      <c r="U2356" s="186"/>
    </row>
    <row r="2357" spans="2:21" x14ac:dyDescent="0.2">
      <c r="B2357" s="182"/>
      <c r="C2357" s="182"/>
      <c r="D2357" s="182"/>
      <c r="E2357" s="182"/>
      <c r="F2357" s="182"/>
      <c r="I2357" s="40"/>
      <c r="J2357" s="186"/>
      <c r="K2357" s="186"/>
      <c r="L2357" s="186"/>
      <c r="M2357" s="186"/>
      <c r="N2357" s="186"/>
      <c r="O2357" s="186"/>
      <c r="P2357" s="186"/>
      <c r="Q2357" s="182"/>
      <c r="R2357" s="182"/>
      <c r="S2357" s="182"/>
      <c r="T2357" s="186"/>
      <c r="U2357" s="186"/>
    </row>
    <row r="2358" spans="2:21" x14ac:dyDescent="0.2">
      <c r="B2358" s="182"/>
      <c r="C2358" s="182"/>
      <c r="D2358" s="182"/>
      <c r="E2358" s="182"/>
      <c r="F2358" s="182"/>
      <c r="I2358" s="40"/>
      <c r="J2358" s="186"/>
      <c r="K2358" s="186"/>
      <c r="L2358" s="186"/>
      <c r="M2358" s="186"/>
      <c r="N2358" s="186"/>
      <c r="O2358" s="186"/>
      <c r="P2358" s="186"/>
      <c r="Q2358" s="182"/>
      <c r="R2358" s="182"/>
      <c r="S2358" s="182"/>
      <c r="T2358" s="186"/>
      <c r="U2358" s="186"/>
    </row>
    <row r="2359" spans="2:21" x14ac:dyDescent="0.2">
      <c r="B2359" s="182"/>
      <c r="C2359" s="182"/>
      <c r="D2359" s="182"/>
      <c r="E2359" s="182"/>
      <c r="F2359" s="182"/>
      <c r="I2359" s="40"/>
      <c r="J2359" s="186"/>
      <c r="K2359" s="186"/>
      <c r="L2359" s="186"/>
      <c r="M2359" s="186"/>
      <c r="N2359" s="186"/>
      <c r="O2359" s="186"/>
      <c r="P2359" s="186"/>
      <c r="Q2359" s="182"/>
      <c r="R2359" s="182"/>
      <c r="S2359" s="182"/>
      <c r="T2359" s="186"/>
      <c r="U2359" s="186"/>
    </row>
    <row r="2360" spans="2:21" x14ac:dyDescent="0.2">
      <c r="B2360" s="182"/>
      <c r="C2360" s="182"/>
      <c r="D2360" s="182"/>
      <c r="E2360" s="182"/>
      <c r="F2360" s="182"/>
      <c r="I2360" s="40"/>
      <c r="J2360" s="186"/>
      <c r="K2360" s="186"/>
      <c r="L2360" s="186"/>
      <c r="M2360" s="186"/>
      <c r="N2360" s="186"/>
      <c r="O2360" s="186"/>
      <c r="P2360" s="186"/>
      <c r="Q2360" s="182"/>
      <c r="R2360" s="182"/>
      <c r="S2360" s="182"/>
      <c r="T2360" s="186"/>
      <c r="U2360" s="186"/>
    </row>
    <row r="2361" spans="2:21" x14ac:dyDescent="0.2">
      <c r="B2361" s="182"/>
      <c r="C2361" s="182"/>
      <c r="D2361" s="182"/>
      <c r="E2361" s="182"/>
      <c r="F2361" s="182"/>
      <c r="I2361" s="40"/>
      <c r="J2361" s="186"/>
      <c r="K2361" s="186"/>
      <c r="L2361" s="186"/>
      <c r="M2361" s="186"/>
      <c r="N2361" s="186"/>
      <c r="O2361" s="186"/>
      <c r="P2361" s="186"/>
      <c r="Q2361" s="182"/>
      <c r="R2361" s="182"/>
      <c r="S2361" s="182"/>
      <c r="T2361" s="186"/>
      <c r="U2361" s="186"/>
    </row>
    <row r="2362" spans="2:21" x14ac:dyDescent="0.2">
      <c r="B2362" s="182"/>
      <c r="C2362" s="182"/>
      <c r="D2362" s="182"/>
      <c r="E2362" s="182"/>
      <c r="F2362" s="182"/>
      <c r="I2362" s="40"/>
      <c r="J2362" s="186"/>
      <c r="K2362" s="186"/>
      <c r="L2362" s="186"/>
      <c r="M2362" s="186"/>
      <c r="N2362" s="186"/>
      <c r="O2362" s="186"/>
      <c r="P2362" s="186"/>
      <c r="Q2362" s="182"/>
      <c r="R2362" s="182"/>
      <c r="S2362" s="182"/>
      <c r="T2362" s="186"/>
      <c r="U2362" s="186"/>
    </row>
    <row r="2363" spans="2:21" x14ac:dyDescent="0.2">
      <c r="B2363" s="182"/>
      <c r="C2363" s="182"/>
      <c r="D2363" s="182"/>
      <c r="E2363" s="182"/>
      <c r="F2363" s="182"/>
      <c r="I2363" s="40"/>
      <c r="J2363" s="186"/>
      <c r="K2363" s="186"/>
      <c r="L2363" s="186"/>
      <c r="M2363" s="186"/>
      <c r="N2363" s="186"/>
      <c r="O2363" s="186"/>
      <c r="P2363" s="186"/>
      <c r="Q2363" s="182"/>
      <c r="R2363" s="182"/>
      <c r="S2363" s="182"/>
      <c r="T2363" s="186"/>
      <c r="U2363" s="186"/>
    </row>
    <row r="2364" spans="2:21" x14ac:dyDescent="0.2">
      <c r="B2364" s="182"/>
      <c r="C2364" s="182"/>
      <c r="D2364" s="182"/>
      <c r="E2364" s="182"/>
      <c r="F2364" s="182"/>
      <c r="I2364" s="40"/>
      <c r="J2364" s="186"/>
      <c r="K2364" s="186"/>
      <c r="L2364" s="186"/>
      <c r="M2364" s="186"/>
      <c r="N2364" s="186"/>
      <c r="O2364" s="186"/>
      <c r="P2364" s="186"/>
      <c r="Q2364" s="182"/>
      <c r="R2364" s="182"/>
      <c r="S2364" s="182"/>
      <c r="T2364" s="186"/>
      <c r="U2364" s="186"/>
    </row>
    <row r="2365" spans="2:21" x14ac:dyDescent="0.2">
      <c r="B2365" s="182"/>
      <c r="C2365" s="182"/>
      <c r="D2365" s="182"/>
      <c r="E2365" s="182"/>
      <c r="F2365" s="182"/>
      <c r="I2365" s="40"/>
      <c r="J2365" s="186"/>
      <c r="K2365" s="186"/>
      <c r="L2365" s="186"/>
      <c r="M2365" s="186"/>
      <c r="N2365" s="186"/>
      <c r="O2365" s="186"/>
      <c r="P2365" s="186"/>
      <c r="Q2365" s="182"/>
      <c r="R2365" s="182"/>
      <c r="S2365" s="182"/>
      <c r="T2365" s="186"/>
      <c r="U2365" s="186"/>
    </row>
    <row r="2366" spans="2:21" x14ac:dyDescent="0.2">
      <c r="B2366" s="182"/>
      <c r="C2366" s="182"/>
      <c r="D2366" s="182"/>
      <c r="E2366" s="182"/>
      <c r="F2366" s="182"/>
      <c r="I2366" s="40"/>
      <c r="J2366" s="186"/>
      <c r="K2366" s="186"/>
      <c r="L2366" s="186"/>
      <c r="M2366" s="186"/>
      <c r="N2366" s="186"/>
      <c r="O2366" s="186"/>
      <c r="P2366" s="186"/>
      <c r="Q2366" s="182"/>
      <c r="R2366" s="182"/>
      <c r="S2366" s="182"/>
      <c r="T2366" s="186"/>
      <c r="U2366" s="186"/>
    </row>
    <row r="2367" spans="2:21" x14ac:dyDescent="0.2">
      <c r="B2367" s="182"/>
      <c r="C2367" s="182"/>
      <c r="D2367" s="182"/>
      <c r="E2367" s="182"/>
      <c r="F2367" s="182"/>
      <c r="I2367" s="40"/>
      <c r="J2367" s="186"/>
      <c r="K2367" s="186"/>
      <c r="L2367" s="186"/>
      <c r="M2367" s="186"/>
      <c r="N2367" s="186"/>
      <c r="O2367" s="186"/>
      <c r="P2367" s="186"/>
      <c r="Q2367" s="182"/>
      <c r="R2367" s="182"/>
      <c r="S2367" s="182"/>
      <c r="T2367" s="186"/>
      <c r="U2367" s="186"/>
    </row>
    <row r="2368" spans="2:21" x14ac:dyDescent="0.2">
      <c r="B2368" s="182"/>
      <c r="C2368" s="182"/>
      <c r="D2368" s="182"/>
      <c r="E2368" s="182"/>
      <c r="F2368" s="182"/>
      <c r="I2368" s="40"/>
      <c r="J2368" s="186"/>
      <c r="K2368" s="186"/>
      <c r="L2368" s="186"/>
      <c r="M2368" s="186"/>
      <c r="N2368" s="186"/>
      <c r="O2368" s="186"/>
      <c r="P2368" s="186"/>
      <c r="Q2368" s="182"/>
      <c r="R2368" s="182"/>
      <c r="S2368" s="182"/>
      <c r="T2368" s="186"/>
      <c r="U2368" s="186"/>
    </row>
    <row r="2369" spans="2:21" x14ac:dyDescent="0.2">
      <c r="B2369" s="182"/>
      <c r="C2369" s="182"/>
      <c r="D2369" s="182"/>
      <c r="E2369" s="182"/>
      <c r="F2369" s="182"/>
      <c r="I2369" s="40"/>
      <c r="J2369" s="186"/>
      <c r="K2369" s="186"/>
      <c r="L2369" s="186"/>
      <c r="M2369" s="186"/>
      <c r="N2369" s="186"/>
      <c r="O2369" s="186"/>
      <c r="P2369" s="186"/>
      <c r="Q2369" s="182"/>
      <c r="R2369" s="182"/>
      <c r="S2369" s="182"/>
      <c r="T2369" s="186"/>
      <c r="U2369" s="186"/>
    </row>
    <row r="2370" spans="2:21" x14ac:dyDescent="0.2">
      <c r="B2370" s="182"/>
      <c r="C2370" s="182"/>
      <c r="D2370" s="182"/>
      <c r="E2370" s="182"/>
      <c r="F2370" s="182"/>
      <c r="I2370" s="40"/>
      <c r="J2370" s="186"/>
      <c r="K2370" s="186"/>
      <c r="L2370" s="186"/>
      <c r="M2370" s="186"/>
      <c r="N2370" s="186"/>
      <c r="O2370" s="186"/>
      <c r="P2370" s="186"/>
      <c r="Q2370" s="182"/>
      <c r="R2370" s="182"/>
      <c r="S2370" s="182"/>
      <c r="T2370" s="186"/>
      <c r="U2370" s="186"/>
    </row>
    <row r="2371" spans="2:21" x14ac:dyDescent="0.2">
      <c r="B2371" s="182"/>
      <c r="C2371" s="182"/>
      <c r="D2371" s="182"/>
      <c r="E2371" s="182"/>
      <c r="F2371" s="182"/>
      <c r="I2371" s="40"/>
      <c r="J2371" s="186"/>
      <c r="K2371" s="186"/>
      <c r="L2371" s="186"/>
      <c r="M2371" s="186"/>
      <c r="N2371" s="186"/>
      <c r="O2371" s="186"/>
      <c r="P2371" s="186"/>
      <c r="Q2371" s="182"/>
      <c r="R2371" s="182"/>
      <c r="S2371" s="182"/>
      <c r="T2371" s="186"/>
      <c r="U2371" s="186"/>
    </row>
    <row r="2372" spans="2:21" x14ac:dyDescent="0.2">
      <c r="B2372" s="182"/>
      <c r="C2372" s="182"/>
      <c r="D2372" s="182"/>
      <c r="E2372" s="182"/>
      <c r="F2372" s="182"/>
      <c r="I2372" s="40"/>
      <c r="J2372" s="186"/>
      <c r="K2372" s="186"/>
      <c r="L2372" s="186"/>
      <c r="M2372" s="186"/>
      <c r="N2372" s="186"/>
      <c r="O2372" s="186"/>
      <c r="P2372" s="186"/>
      <c r="Q2372" s="182"/>
      <c r="R2372" s="182"/>
      <c r="S2372" s="182"/>
      <c r="T2372" s="186"/>
      <c r="U2372" s="186"/>
    </row>
    <row r="2373" spans="2:21" x14ac:dyDescent="0.2">
      <c r="B2373" s="182"/>
      <c r="C2373" s="182"/>
      <c r="D2373" s="182"/>
      <c r="E2373" s="182"/>
      <c r="F2373" s="182"/>
      <c r="I2373" s="40"/>
      <c r="J2373" s="186"/>
      <c r="K2373" s="186"/>
      <c r="L2373" s="186"/>
      <c r="M2373" s="186"/>
      <c r="N2373" s="186"/>
      <c r="O2373" s="186"/>
      <c r="P2373" s="186"/>
      <c r="Q2373" s="182"/>
      <c r="R2373" s="182"/>
      <c r="S2373" s="182"/>
      <c r="T2373" s="186"/>
      <c r="U2373" s="186"/>
    </row>
    <row r="2374" spans="2:21" x14ac:dyDescent="0.2">
      <c r="B2374" s="182"/>
      <c r="C2374" s="182"/>
      <c r="D2374" s="182"/>
      <c r="E2374" s="182"/>
      <c r="F2374" s="182"/>
      <c r="I2374" s="40"/>
      <c r="J2374" s="186"/>
      <c r="K2374" s="186"/>
      <c r="L2374" s="186"/>
      <c r="M2374" s="186"/>
      <c r="N2374" s="186"/>
      <c r="O2374" s="186"/>
      <c r="P2374" s="186"/>
      <c r="Q2374" s="182"/>
      <c r="R2374" s="182"/>
      <c r="S2374" s="182"/>
      <c r="T2374" s="186"/>
      <c r="U2374" s="186"/>
    </row>
    <row r="2375" spans="2:21" x14ac:dyDescent="0.2">
      <c r="B2375" s="182"/>
      <c r="C2375" s="182"/>
      <c r="D2375" s="182"/>
      <c r="E2375" s="182"/>
      <c r="F2375" s="182"/>
      <c r="I2375" s="40"/>
      <c r="J2375" s="186"/>
      <c r="K2375" s="186"/>
      <c r="L2375" s="186"/>
      <c r="M2375" s="186"/>
      <c r="N2375" s="186"/>
      <c r="O2375" s="186"/>
      <c r="P2375" s="186"/>
      <c r="Q2375" s="182"/>
      <c r="R2375" s="182"/>
      <c r="S2375" s="182"/>
      <c r="T2375" s="186"/>
      <c r="U2375" s="186"/>
    </row>
    <row r="2376" spans="2:21" x14ac:dyDescent="0.2">
      <c r="B2376" s="182"/>
      <c r="C2376" s="182"/>
      <c r="D2376" s="182"/>
      <c r="E2376" s="182"/>
      <c r="F2376" s="182"/>
      <c r="I2376" s="40"/>
      <c r="J2376" s="186"/>
      <c r="K2376" s="186"/>
      <c r="L2376" s="186"/>
      <c r="M2376" s="186"/>
      <c r="N2376" s="186"/>
      <c r="O2376" s="186"/>
      <c r="P2376" s="186"/>
      <c r="Q2376" s="182"/>
      <c r="R2376" s="182"/>
      <c r="S2376" s="182"/>
      <c r="T2376" s="186"/>
      <c r="U2376" s="186"/>
    </row>
    <row r="2377" spans="2:21" x14ac:dyDescent="0.2">
      <c r="B2377" s="182"/>
      <c r="C2377" s="182"/>
      <c r="D2377" s="182"/>
      <c r="E2377" s="182"/>
      <c r="F2377" s="182"/>
      <c r="I2377" s="40"/>
      <c r="J2377" s="186"/>
      <c r="K2377" s="186"/>
      <c r="L2377" s="186"/>
      <c r="M2377" s="186"/>
      <c r="N2377" s="186"/>
      <c r="O2377" s="186"/>
      <c r="P2377" s="186"/>
      <c r="Q2377" s="182"/>
      <c r="R2377" s="182"/>
      <c r="S2377" s="182"/>
      <c r="T2377" s="186"/>
      <c r="U2377" s="186"/>
    </row>
    <row r="2378" spans="2:21" x14ac:dyDescent="0.2">
      <c r="B2378" s="182"/>
      <c r="C2378" s="182"/>
      <c r="D2378" s="182"/>
      <c r="E2378" s="182"/>
      <c r="F2378" s="182"/>
      <c r="I2378" s="40"/>
      <c r="J2378" s="186"/>
      <c r="K2378" s="186"/>
      <c r="L2378" s="186"/>
      <c r="M2378" s="186"/>
      <c r="N2378" s="186"/>
      <c r="O2378" s="186"/>
      <c r="P2378" s="186"/>
      <c r="Q2378" s="182"/>
      <c r="R2378" s="182"/>
      <c r="S2378" s="182"/>
      <c r="T2378" s="186"/>
      <c r="U2378" s="186"/>
    </row>
    <row r="2379" spans="2:21" x14ac:dyDescent="0.2">
      <c r="B2379" s="182"/>
      <c r="C2379" s="182"/>
      <c r="D2379" s="182"/>
      <c r="E2379" s="182"/>
      <c r="F2379" s="182"/>
      <c r="I2379" s="40"/>
      <c r="J2379" s="186"/>
      <c r="K2379" s="186"/>
      <c r="L2379" s="186"/>
      <c r="M2379" s="186"/>
      <c r="N2379" s="186"/>
      <c r="O2379" s="186"/>
      <c r="P2379" s="186"/>
      <c r="Q2379" s="182"/>
      <c r="R2379" s="182"/>
      <c r="S2379" s="182"/>
      <c r="T2379" s="186"/>
      <c r="U2379" s="186"/>
    </row>
    <row r="2380" spans="2:21" x14ac:dyDescent="0.2">
      <c r="B2380" s="182"/>
      <c r="C2380" s="182"/>
      <c r="D2380" s="182"/>
      <c r="E2380" s="182"/>
      <c r="F2380" s="182"/>
      <c r="I2380" s="40"/>
      <c r="J2380" s="186"/>
      <c r="K2380" s="186"/>
      <c r="L2380" s="186"/>
      <c r="M2380" s="186"/>
      <c r="N2380" s="186"/>
      <c r="O2380" s="186"/>
      <c r="P2380" s="186"/>
      <c r="Q2380" s="182"/>
      <c r="R2380" s="182"/>
      <c r="S2380" s="182"/>
      <c r="T2380" s="186"/>
      <c r="U2380" s="186"/>
    </row>
    <row r="2381" spans="2:21" x14ac:dyDescent="0.2">
      <c r="B2381" s="182"/>
      <c r="C2381" s="182"/>
      <c r="D2381" s="182"/>
      <c r="E2381" s="182"/>
      <c r="F2381" s="182"/>
      <c r="I2381" s="40"/>
      <c r="J2381" s="186"/>
      <c r="K2381" s="186"/>
      <c r="L2381" s="186"/>
      <c r="M2381" s="186"/>
      <c r="N2381" s="186"/>
      <c r="O2381" s="186"/>
      <c r="P2381" s="186"/>
      <c r="Q2381" s="182"/>
      <c r="R2381" s="182"/>
      <c r="S2381" s="182"/>
      <c r="T2381" s="186"/>
      <c r="U2381" s="186"/>
    </row>
    <row r="2382" spans="2:21" x14ac:dyDescent="0.2">
      <c r="B2382" s="182"/>
      <c r="C2382" s="182"/>
      <c r="D2382" s="182"/>
      <c r="E2382" s="182"/>
      <c r="F2382" s="182"/>
      <c r="I2382" s="40"/>
      <c r="J2382" s="186"/>
      <c r="K2382" s="186"/>
      <c r="L2382" s="186"/>
      <c r="M2382" s="186"/>
      <c r="N2382" s="186"/>
      <c r="O2382" s="186"/>
      <c r="P2382" s="186"/>
      <c r="Q2382" s="182"/>
      <c r="R2382" s="182"/>
      <c r="S2382" s="182"/>
      <c r="T2382" s="186"/>
      <c r="U2382" s="186"/>
    </row>
    <row r="2383" spans="2:21" x14ac:dyDescent="0.2">
      <c r="B2383" s="182"/>
      <c r="C2383" s="182"/>
      <c r="D2383" s="182"/>
      <c r="E2383" s="182"/>
      <c r="F2383" s="182"/>
      <c r="I2383" s="40"/>
      <c r="J2383" s="186"/>
      <c r="K2383" s="186"/>
      <c r="L2383" s="186"/>
      <c r="M2383" s="186"/>
      <c r="N2383" s="186"/>
      <c r="O2383" s="186"/>
      <c r="P2383" s="186"/>
      <c r="Q2383" s="182"/>
      <c r="R2383" s="182"/>
      <c r="S2383" s="182"/>
      <c r="T2383" s="186"/>
      <c r="U2383" s="186"/>
    </row>
    <row r="2384" spans="2:21" x14ac:dyDescent="0.2">
      <c r="B2384" s="182"/>
      <c r="C2384" s="182"/>
      <c r="D2384" s="182"/>
      <c r="E2384" s="182"/>
      <c r="F2384" s="182"/>
      <c r="I2384" s="40"/>
      <c r="J2384" s="186"/>
      <c r="K2384" s="186"/>
      <c r="L2384" s="186"/>
      <c r="M2384" s="186"/>
      <c r="N2384" s="186"/>
      <c r="O2384" s="186"/>
      <c r="P2384" s="186"/>
      <c r="Q2384" s="182"/>
      <c r="R2384" s="182"/>
      <c r="S2384" s="182"/>
      <c r="T2384" s="186"/>
      <c r="U2384" s="186"/>
    </row>
    <row r="2385" spans="2:21" x14ac:dyDescent="0.2">
      <c r="B2385" s="182"/>
      <c r="C2385" s="182"/>
      <c r="D2385" s="182"/>
      <c r="E2385" s="182"/>
      <c r="F2385" s="182"/>
      <c r="I2385" s="40"/>
      <c r="J2385" s="186"/>
      <c r="K2385" s="186"/>
      <c r="L2385" s="186"/>
      <c r="M2385" s="186"/>
      <c r="N2385" s="186"/>
      <c r="O2385" s="186"/>
      <c r="P2385" s="186"/>
      <c r="Q2385" s="182"/>
      <c r="R2385" s="182"/>
      <c r="S2385" s="182"/>
      <c r="T2385" s="186"/>
      <c r="U2385" s="186"/>
    </row>
    <row r="2386" spans="2:21" x14ac:dyDescent="0.2">
      <c r="B2386" s="182"/>
      <c r="C2386" s="182"/>
      <c r="D2386" s="182"/>
      <c r="E2386" s="182"/>
      <c r="F2386" s="182"/>
      <c r="I2386" s="40"/>
      <c r="J2386" s="186"/>
      <c r="K2386" s="186"/>
      <c r="L2386" s="186"/>
      <c r="M2386" s="186"/>
      <c r="N2386" s="186"/>
      <c r="O2386" s="186"/>
      <c r="P2386" s="186"/>
      <c r="Q2386" s="182"/>
      <c r="R2386" s="182"/>
      <c r="S2386" s="182"/>
      <c r="T2386" s="186"/>
      <c r="U2386" s="186"/>
    </row>
    <row r="2387" spans="2:21" x14ac:dyDescent="0.2">
      <c r="B2387" s="182"/>
      <c r="C2387" s="182"/>
      <c r="D2387" s="182"/>
      <c r="E2387" s="182"/>
      <c r="F2387" s="182"/>
      <c r="I2387" s="40"/>
      <c r="J2387" s="186"/>
      <c r="K2387" s="186"/>
      <c r="L2387" s="186"/>
      <c r="M2387" s="186"/>
      <c r="N2387" s="186"/>
      <c r="O2387" s="186"/>
      <c r="P2387" s="186"/>
      <c r="Q2387" s="182"/>
      <c r="R2387" s="182"/>
      <c r="S2387" s="182"/>
      <c r="T2387" s="186"/>
      <c r="U2387" s="186"/>
    </row>
    <row r="2388" spans="2:21" x14ac:dyDescent="0.2">
      <c r="B2388" s="182"/>
      <c r="C2388" s="182"/>
      <c r="D2388" s="182"/>
      <c r="E2388" s="182"/>
      <c r="F2388" s="182"/>
      <c r="I2388" s="40"/>
      <c r="J2388" s="186"/>
      <c r="K2388" s="186"/>
      <c r="L2388" s="186"/>
      <c r="M2388" s="186"/>
      <c r="N2388" s="186"/>
      <c r="O2388" s="186"/>
      <c r="P2388" s="186"/>
      <c r="Q2388" s="182"/>
      <c r="R2388" s="182"/>
      <c r="S2388" s="182"/>
      <c r="T2388" s="186"/>
      <c r="U2388" s="186"/>
    </row>
    <row r="2389" spans="2:21" x14ac:dyDescent="0.2">
      <c r="B2389" s="182"/>
      <c r="C2389" s="182"/>
      <c r="D2389" s="182"/>
      <c r="E2389" s="182"/>
      <c r="F2389" s="182"/>
      <c r="I2389" s="40"/>
      <c r="J2389" s="186"/>
      <c r="K2389" s="186"/>
      <c r="L2389" s="186"/>
      <c r="M2389" s="186"/>
      <c r="N2389" s="186"/>
      <c r="O2389" s="186"/>
      <c r="P2389" s="186"/>
      <c r="Q2389" s="182"/>
      <c r="R2389" s="182"/>
      <c r="S2389" s="182"/>
      <c r="T2389" s="186"/>
      <c r="U2389" s="186"/>
    </row>
    <row r="2390" spans="2:21" x14ac:dyDescent="0.2">
      <c r="B2390" s="182"/>
      <c r="C2390" s="182"/>
      <c r="D2390" s="182"/>
      <c r="E2390" s="182"/>
      <c r="F2390" s="182"/>
      <c r="I2390" s="40"/>
      <c r="J2390" s="186"/>
      <c r="K2390" s="186"/>
      <c r="L2390" s="186"/>
      <c r="M2390" s="186"/>
      <c r="N2390" s="186"/>
      <c r="O2390" s="186"/>
      <c r="P2390" s="186"/>
      <c r="Q2390" s="182"/>
      <c r="R2390" s="182"/>
      <c r="S2390" s="182"/>
      <c r="T2390" s="186"/>
      <c r="U2390" s="186"/>
    </row>
    <row r="2391" spans="2:21" x14ac:dyDescent="0.2">
      <c r="B2391" s="182"/>
      <c r="C2391" s="182"/>
      <c r="D2391" s="182"/>
      <c r="E2391" s="182"/>
      <c r="F2391" s="182"/>
      <c r="I2391" s="40"/>
      <c r="J2391" s="186"/>
      <c r="K2391" s="186"/>
      <c r="L2391" s="186"/>
      <c r="M2391" s="186"/>
      <c r="N2391" s="186"/>
      <c r="O2391" s="186"/>
      <c r="P2391" s="186"/>
      <c r="Q2391" s="182"/>
      <c r="R2391" s="182"/>
      <c r="S2391" s="182"/>
      <c r="T2391" s="186"/>
      <c r="U2391" s="186"/>
    </row>
    <row r="2392" spans="2:21" x14ac:dyDescent="0.2">
      <c r="B2392" s="182"/>
      <c r="C2392" s="182"/>
      <c r="D2392" s="182"/>
      <c r="E2392" s="182"/>
      <c r="F2392" s="182"/>
      <c r="I2392" s="40"/>
      <c r="J2392" s="186"/>
      <c r="K2392" s="186"/>
      <c r="L2392" s="186"/>
      <c r="M2392" s="186"/>
      <c r="N2392" s="186"/>
      <c r="O2392" s="186"/>
      <c r="P2392" s="186"/>
      <c r="Q2392" s="182"/>
      <c r="R2392" s="182"/>
      <c r="S2392" s="182"/>
      <c r="T2392" s="186"/>
      <c r="U2392" s="186"/>
    </row>
    <row r="2393" spans="2:21" x14ac:dyDescent="0.2">
      <c r="B2393" s="182"/>
      <c r="C2393" s="182"/>
      <c r="D2393" s="182"/>
      <c r="E2393" s="182"/>
      <c r="F2393" s="182"/>
      <c r="I2393" s="40"/>
      <c r="J2393" s="186"/>
      <c r="K2393" s="186"/>
      <c r="L2393" s="186"/>
      <c r="M2393" s="186"/>
      <c r="N2393" s="186"/>
      <c r="O2393" s="186"/>
      <c r="P2393" s="186"/>
      <c r="Q2393" s="182"/>
      <c r="R2393" s="182"/>
      <c r="S2393" s="182"/>
      <c r="T2393" s="186"/>
      <c r="U2393" s="186"/>
    </row>
    <row r="2394" spans="2:21" x14ac:dyDescent="0.2">
      <c r="B2394" s="182"/>
      <c r="C2394" s="182"/>
      <c r="D2394" s="182"/>
      <c r="E2394" s="182"/>
      <c r="F2394" s="182"/>
      <c r="I2394" s="40"/>
      <c r="J2394" s="186"/>
      <c r="K2394" s="186"/>
      <c r="L2394" s="186"/>
      <c r="M2394" s="186"/>
      <c r="N2394" s="186"/>
      <c r="O2394" s="186"/>
      <c r="P2394" s="186"/>
      <c r="Q2394" s="182"/>
      <c r="R2394" s="182"/>
      <c r="S2394" s="182"/>
      <c r="T2394" s="186"/>
      <c r="U2394" s="186"/>
    </row>
    <row r="2395" spans="2:21" x14ac:dyDescent="0.2">
      <c r="B2395" s="182"/>
      <c r="C2395" s="182"/>
      <c r="D2395" s="182"/>
      <c r="E2395" s="182"/>
      <c r="F2395" s="182"/>
      <c r="I2395" s="40"/>
      <c r="J2395" s="186"/>
      <c r="K2395" s="186"/>
      <c r="L2395" s="186"/>
      <c r="M2395" s="186"/>
      <c r="N2395" s="186"/>
      <c r="O2395" s="186"/>
      <c r="P2395" s="186"/>
      <c r="Q2395" s="182"/>
      <c r="R2395" s="182"/>
      <c r="S2395" s="182"/>
      <c r="T2395" s="186"/>
      <c r="U2395" s="186"/>
    </row>
    <row r="2396" spans="2:21" x14ac:dyDescent="0.2">
      <c r="B2396" s="182"/>
      <c r="C2396" s="182"/>
      <c r="D2396" s="182"/>
      <c r="E2396" s="182"/>
      <c r="F2396" s="182"/>
      <c r="I2396" s="40"/>
      <c r="J2396" s="186"/>
      <c r="K2396" s="186"/>
      <c r="L2396" s="186"/>
      <c r="M2396" s="186"/>
      <c r="N2396" s="186"/>
      <c r="O2396" s="186"/>
      <c r="P2396" s="186"/>
      <c r="Q2396" s="182"/>
      <c r="R2396" s="182"/>
      <c r="S2396" s="182"/>
      <c r="T2396" s="186"/>
      <c r="U2396" s="186"/>
    </row>
    <row r="2397" spans="2:21" x14ac:dyDescent="0.2">
      <c r="B2397" s="182"/>
      <c r="C2397" s="182"/>
      <c r="D2397" s="182"/>
      <c r="E2397" s="182"/>
      <c r="F2397" s="182"/>
      <c r="I2397" s="40"/>
      <c r="J2397" s="186"/>
      <c r="K2397" s="186"/>
      <c r="L2397" s="186"/>
      <c r="M2397" s="186"/>
      <c r="N2397" s="186"/>
      <c r="O2397" s="186"/>
      <c r="P2397" s="186"/>
      <c r="Q2397" s="182"/>
      <c r="R2397" s="182"/>
      <c r="S2397" s="182"/>
      <c r="T2397" s="186"/>
      <c r="U2397" s="186"/>
    </row>
    <row r="2398" spans="2:21" x14ac:dyDescent="0.2">
      <c r="B2398" s="182"/>
      <c r="C2398" s="182"/>
      <c r="D2398" s="182"/>
      <c r="E2398" s="182"/>
      <c r="F2398" s="182"/>
      <c r="I2398" s="40"/>
      <c r="J2398" s="186"/>
      <c r="K2398" s="186"/>
      <c r="L2398" s="186"/>
      <c r="M2398" s="186"/>
      <c r="N2398" s="186"/>
      <c r="O2398" s="186"/>
      <c r="P2398" s="186"/>
      <c r="Q2398" s="182"/>
      <c r="R2398" s="182"/>
      <c r="S2398" s="182"/>
      <c r="T2398" s="186"/>
      <c r="U2398" s="186"/>
    </row>
    <row r="2399" spans="2:21" x14ac:dyDescent="0.2">
      <c r="B2399" s="182"/>
      <c r="C2399" s="182"/>
      <c r="D2399" s="182"/>
      <c r="E2399" s="182"/>
      <c r="F2399" s="182"/>
      <c r="I2399" s="40"/>
      <c r="J2399" s="186"/>
      <c r="K2399" s="186"/>
      <c r="L2399" s="186"/>
      <c r="M2399" s="186"/>
      <c r="N2399" s="186"/>
      <c r="O2399" s="186"/>
      <c r="P2399" s="186"/>
      <c r="Q2399" s="182"/>
      <c r="R2399" s="182"/>
      <c r="S2399" s="182"/>
      <c r="T2399" s="186"/>
      <c r="U2399" s="186"/>
    </row>
    <row r="2400" spans="2:21" x14ac:dyDescent="0.2">
      <c r="B2400" s="182"/>
      <c r="C2400" s="182"/>
      <c r="D2400" s="182"/>
      <c r="E2400" s="182"/>
      <c r="F2400" s="182"/>
      <c r="I2400" s="40"/>
      <c r="J2400" s="186"/>
      <c r="K2400" s="186"/>
      <c r="L2400" s="186"/>
      <c r="M2400" s="186"/>
      <c r="N2400" s="186"/>
      <c r="O2400" s="186"/>
      <c r="P2400" s="186"/>
      <c r="Q2400" s="182"/>
      <c r="R2400" s="182"/>
      <c r="S2400" s="182"/>
      <c r="T2400" s="186"/>
      <c r="U2400" s="186"/>
    </row>
    <row r="2401" spans="2:21" x14ac:dyDescent="0.2">
      <c r="B2401" s="182"/>
      <c r="C2401" s="182"/>
      <c r="D2401" s="182"/>
      <c r="E2401" s="182"/>
      <c r="F2401" s="182"/>
      <c r="I2401" s="40"/>
      <c r="J2401" s="186"/>
      <c r="K2401" s="186"/>
      <c r="L2401" s="186"/>
      <c r="M2401" s="186"/>
      <c r="N2401" s="186"/>
      <c r="O2401" s="186"/>
      <c r="P2401" s="186"/>
      <c r="Q2401" s="182"/>
      <c r="R2401" s="182"/>
      <c r="S2401" s="182"/>
      <c r="T2401" s="186"/>
      <c r="U2401" s="186"/>
    </row>
    <row r="2402" spans="2:21" x14ac:dyDescent="0.2">
      <c r="B2402" s="182"/>
      <c r="C2402" s="182"/>
      <c r="D2402" s="182"/>
      <c r="E2402" s="182"/>
      <c r="F2402" s="182"/>
      <c r="I2402" s="40"/>
      <c r="J2402" s="186"/>
      <c r="K2402" s="186"/>
      <c r="L2402" s="186"/>
      <c r="M2402" s="186"/>
      <c r="N2402" s="186"/>
      <c r="O2402" s="186"/>
      <c r="P2402" s="186"/>
      <c r="Q2402" s="182"/>
      <c r="R2402" s="182"/>
      <c r="S2402" s="182"/>
      <c r="T2402" s="186"/>
      <c r="U2402" s="186"/>
    </row>
    <row r="2403" spans="2:21" x14ac:dyDescent="0.2">
      <c r="B2403" s="182"/>
      <c r="C2403" s="182"/>
      <c r="D2403" s="182"/>
      <c r="E2403" s="182"/>
      <c r="F2403" s="182"/>
      <c r="I2403" s="40"/>
      <c r="J2403" s="186"/>
      <c r="K2403" s="186"/>
      <c r="L2403" s="186"/>
      <c r="M2403" s="186"/>
      <c r="N2403" s="186"/>
      <c r="O2403" s="186"/>
      <c r="P2403" s="186"/>
      <c r="Q2403" s="182"/>
      <c r="R2403" s="182"/>
      <c r="S2403" s="182"/>
      <c r="T2403" s="186"/>
      <c r="U2403" s="186"/>
    </row>
    <row r="2404" spans="2:21" x14ac:dyDescent="0.2">
      <c r="B2404" s="182"/>
      <c r="C2404" s="182"/>
      <c r="D2404" s="182"/>
      <c r="E2404" s="182"/>
      <c r="F2404" s="182"/>
      <c r="I2404" s="40"/>
      <c r="J2404" s="186"/>
      <c r="K2404" s="186"/>
      <c r="L2404" s="186"/>
      <c r="M2404" s="186"/>
      <c r="N2404" s="186"/>
      <c r="O2404" s="186"/>
      <c r="P2404" s="186"/>
      <c r="Q2404" s="182"/>
      <c r="R2404" s="182"/>
      <c r="S2404" s="182"/>
      <c r="T2404" s="186"/>
      <c r="U2404" s="186"/>
    </row>
    <row r="2405" spans="2:21" x14ac:dyDescent="0.2">
      <c r="B2405" s="182"/>
      <c r="C2405" s="182"/>
      <c r="D2405" s="182"/>
      <c r="E2405" s="182"/>
      <c r="F2405" s="182"/>
      <c r="I2405" s="40"/>
      <c r="J2405" s="186"/>
      <c r="K2405" s="186"/>
      <c r="L2405" s="186"/>
      <c r="M2405" s="186"/>
      <c r="N2405" s="186"/>
      <c r="O2405" s="186"/>
      <c r="P2405" s="186"/>
      <c r="Q2405" s="182"/>
      <c r="R2405" s="182"/>
      <c r="S2405" s="182"/>
      <c r="T2405" s="186"/>
      <c r="U2405" s="186"/>
    </row>
    <row r="2406" spans="2:21" x14ac:dyDescent="0.2">
      <c r="B2406" s="182"/>
      <c r="C2406" s="182"/>
      <c r="D2406" s="182"/>
      <c r="E2406" s="182"/>
      <c r="F2406" s="182"/>
      <c r="I2406" s="40"/>
      <c r="J2406" s="186"/>
      <c r="K2406" s="186"/>
      <c r="L2406" s="186"/>
      <c r="M2406" s="186"/>
      <c r="N2406" s="186"/>
      <c r="O2406" s="186"/>
      <c r="P2406" s="186"/>
      <c r="Q2406" s="182"/>
      <c r="R2406" s="182"/>
      <c r="S2406" s="182"/>
      <c r="T2406" s="186"/>
      <c r="U2406" s="186"/>
    </row>
    <row r="2407" spans="2:21" x14ac:dyDescent="0.2">
      <c r="B2407" s="182"/>
      <c r="C2407" s="182"/>
      <c r="D2407" s="182"/>
      <c r="E2407" s="182"/>
      <c r="F2407" s="182"/>
      <c r="I2407" s="40"/>
      <c r="J2407" s="186"/>
      <c r="K2407" s="186"/>
      <c r="L2407" s="186"/>
      <c r="M2407" s="186"/>
      <c r="N2407" s="186"/>
      <c r="O2407" s="186"/>
      <c r="P2407" s="186"/>
      <c r="Q2407" s="182"/>
      <c r="R2407" s="182"/>
      <c r="S2407" s="182"/>
      <c r="T2407" s="186"/>
      <c r="U2407" s="186"/>
    </row>
    <row r="2408" spans="2:21" x14ac:dyDescent="0.2">
      <c r="B2408" s="182"/>
      <c r="C2408" s="182"/>
      <c r="D2408" s="182"/>
      <c r="E2408" s="182"/>
      <c r="F2408" s="182"/>
      <c r="I2408" s="40"/>
      <c r="J2408" s="186"/>
      <c r="K2408" s="186"/>
      <c r="L2408" s="186"/>
      <c r="M2408" s="186"/>
      <c r="N2408" s="186"/>
      <c r="O2408" s="186"/>
      <c r="P2408" s="186"/>
      <c r="Q2408" s="182"/>
      <c r="R2408" s="182"/>
      <c r="S2408" s="182"/>
      <c r="T2408" s="186"/>
      <c r="U2408" s="186"/>
    </row>
    <row r="2409" spans="2:21" x14ac:dyDescent="0.2">
      <c r="B2409" s="182"/>
      <c r="C2409" s="182"/>
      <c r="D2409" s="182"/>
      <c r="E2409" s="182"/>
      <c r="F2409" s="182"/>
      <c r="I2409" s="40"/>
      <c r="J2409" s="186"/>
      <c r="K2409" s="186"/>
      <c r="L2409" s="186"/>
      <c r="M2409" s="186"/>
      <c r="N2409" s="186"/>
      <c r="O2409" s="186"/>
      <c r="P2409" s="186"/>
      <c r="Q2409" s="182"/>
      <c r="R2409" s="182"/>
      <c r="S2409" s="182"/>
      <c r="T2409" s="186"/>
      <c r="U2409" s="186"/>
    </row>
    <row r="2410" spans="2:21" x14ac:dyDescent="0.2">
      <c r="B2410" s="182"/>
      <c r="C2410" s="182"/>
      <c r="D2410" s="182"/>
      <c r="E2410" s="182"/>
      <c r="F2410" s="182"/>
      <c r="I2410" s="40"/>
      <c r="J2410" s="186"/>
      <c r="K2410" s="186"/>
      <c r="L2410" s="186"/>
      <c r="M2410" s="186"/>
      <c r="N2410" s="186"/>
      <c r="O2410" s="186"/>
      <c r="P2410" s="186"/>
      <c r="Q2410" s="182"/>
      <c r="R2410" s="182"/>
      <c r="S2410" s="182"/>
      <c r="T2410" s="186"/>
      <c r="U2410" s="186"/>
    </row>
    <row r="2411" spans="2:21" x14ac:dyDescent="0.2">
      <c r="B2411" s="182"/>
      <c r="C2411" s="182"/>
      <c r="D2411" s="182"/>
      <c r="E2411" s="182"/>
      <c r="F2411" s="182"/>
      <c r="I2411" s="40"/>
      <c r="J2411" s="186"/>
      <c r="K2411" s="186"/>
      <c r="L2411" s="186"/>
      <c r="M2411" s="186"/>
      <c r="N2411" s="186"/>
      <c r="O2411" s="186"/>
      <c r="P2411" s="186"/>
      <c r="Q2411" s="182"/>
      <c r="R2411" s="182"/>
      <c r="S2411" s="182"/>
      <c r="T2411" s="186"/>
      <c r="U2411" s="186"/>
    </row>
    <row r="2412" spans="2:21" x14ac:dyDescent="0.2">
      <c r="B2412" s="182"/>
      <c r="C2412" s="182"/>
      <c r="D2412" s="182"/>
      <c r="E2412" s="182"/>
      <c r="F2412" s="182"/>
      <c r="I2412" s="40"/>
      <c r="J2412" s="186"/>
      <c r="K2412" s="186"/>
      <c r="L2412" s="186"/>
      <c r="M2412" s="186"/>
      <c r="N2412" s="186"/>
      <c r="O2412" s="186"/>
      <c r="P2412" s="186"/>
      <c r="Q2412" s="182"/>
      <c r="R2412" s="182"/>
      <c r="S2412" s="182"/>
      <c r="T2412" s="186"/>
      <c r="U2412" s="186"/>
    </row>
    <row r="2413" spans="2:21" x14ac:dyDescent="0.2">
      <c r="B2413" s="182"/>
      <c r="C2413" s="182"/>
      <c r="D2413" s="182"/>
      <c r="E2413" s="182"/>
      <c r="F2413" s="182"/>
      <c r="I2413" s="40"/>
      <c r="J2413" s="186"/>
      <c r="K2413" s="186"/>
      <c r="L2413" s="186"/>
      <c r="M2413" s="186"/>
      <c r="N2413" s="186"/>
      <c r="O2413" s="186"/>
      <c r="P2413" s="186"/>
      <c r="Q2413" s="182"/>
      <c r="R2413" s="182"/>
      <c r="S2413" s="182"/>
      <c r="T2413" s="186"/>
      <c r="U2413" s="186"/>
    </row>
    <row r="2414" spans="2:21" x14ac:dyDescent="0.2">
      <c r="B2414" s="182"/>
      <c r="C2414" s="182"/>
      <c r="D2414" s="182"/>
      <c r="E2414" s="182"/>
      <c r="F2414" s="182"/>
      <c r="I2414" s="40"/>
      <c r="J2414" s="186"/>
      <c r="K2414" s="186"/>
      <c r="L2414" s="186"/>
      <c r="M2414" s="186"/>
      <c r="N2414" s="186"/>
      <c r="O2414" s="186"/>
      <c r="P2414" s="186"/>
      <c r="Q2414" s="182"/>
      <c r="R2414" s="182"/>
      <c r="S2414" s="182"/>
      <c r="T2414" s="186"/>
      <c r="U2414" s="186"/>
    </row>
    <row r="2415" spans="2:21" x14ac:dyDescent="0.2">
      <c r="B2415" s="182"/>
      <c r="C2415" s="182"/>
      <c r="D2415" s="182"/>
      <c r="E2415" s="182"/>
      <c r="F2415" s="182"/>
      <c r="I2415" s="40"/>
      <c r="J2415" s="186"/>
      <c r="K2415" s="186"/>
      <c r="L2415" s="186"/>
      <c r="M2415" s="186"/>
      <c r="N2415" s="186"/>
      <c r="O2415" s="186"/>
      <c r="P2415" s="186"/>
      <c r="Q2415" s="182"/>
      <c r="R2415" s="182"/>
      <c r="S2415" s="182"/>
      <c r="T2415" s="186"/>
      <c r="U2415" s="186"/>
    </row>
    <row r="2416" spans="2:21" x14ac:dyDescent="0.2">
      <c r="B2416" s="182"/>
      <c r="C2416" s="182"/>
      <c r="D2416" s="182"/>
      <c r="E2416" s="182"/>
      <c r="F2416" s="182"/>
      <c r="I2416" s="40"/>
      <c r="J2416" s="186"/>
      <c r="K2416" s="186"/>
      <c r="L2416" s="186"/>
      <c r="M2416" s="186"/>
      <c r="N2416" s="186"/>
      <c r="O2416" s="186"/>
      <c r="P2416" s="186"/>
      <c r="Q2416" s="182"/>
      <c r="R2416" s="182"/>
      <c r="S2416" s="182"/>
      <c r="T2416" s="186"/>
      <c r="U2416" s="186"/>
    </row>
    <row r="2417" spans="2:21" x14ac:dyDescent="0.2">
      <c r="B2417" s="182"/>
      <c r="C2417" s="182"/>
      <c r="D2417" s="182"/>
      <c r="E2417" s="182"/>
      <c r="F2417" s="182"/>
      <c r="I2417" s="40"/>
      <c r="J2417" s="186"/>
      <c r="K2417" s="186"/>
      <c r="L2417" s="186"/>
      <c r="M2417" s="186"/>
      <c r="N2417" s="186"/>
      <c r="O2417" s="186"/>
      <c r="P2417" s="186"/>
      <c r="Q2417" s="182"/>
      <c r="R2417" s="182"/>
      <c r="S2417" s="182"/>
      <c r="T2417" s="186"/>
      <c r="U2417" s="186"/>
    </row>
    <row r="2418" spans="2:21" x14ac:dyDescent="0.2">
      <c r="B2418" s="182"/>
      <c r="C2418" s="182"/>
      <c r="D2418" s="182"/>
      <c r="E2418" s="182"/>
      <c r="F2418" s="182"/>
      <c r="I2418" s="40"/>
      <c r="J2418" s="186"/>
      <c r="K2418" s="186"/>
      <c r="L2418" s="186"/>
      <c r="M2418" s="186"/>
      <c r="N2418" s="186"/>
      <c r="O2418" s="186"/>
      <c r="P2418" s="186"/>
      <c r="Q2418" s="182"/>
      <c r="R2418" s="182"/>
      <c r="S2418" s="182"/>
      <c r="T2418" s="186"/>
      <c r="U2418" s="186"/>
    </row>
    <row r="2419" spans="2:21" x14ac:dyDescent="0.2">
      <c r="B2419" s="182"/>
      <c r="C2419" s="182"/>
      <c r="D2419" s="182"/>
      <c r="E2419" s="182"/>
      <c r="F2419" s="182"/>
      <c r="I2419" s="40"/>
      <c r="J2419" s="186"/>
      <c r="K2419" s="186"/>
      <c r="L2419" s="186"/>
      <c r="M2419" s="186"/>
      <c r="N2419" s="186"/>
      <c r="O2419" s="186"/>
      <c r="P2419" s="186"/>
      <c r="Q2419" s="182"/>
      <c r="R2419" s="182"/>
      <c r="S2419" s="182"/>
      <c r="T2419" s="186"/>
      <c r="U2419" s="186"/>
    </row>
    <row r="2420" spans="2:21" x14ac:dyDescent="0.2">
      <c r="B2420" s="182"/>
      <c r="C2420" s="182"/>
      <c r="D2420" s="182"/>
      <c r="E2420" s="182"/>
      <c r="F2420" s="182"/>
      <c r="I2420" s="40"/>
      <c r="J2420" s="186"/>
      <c r="K2420" s="186"/>
      <c r="L2420" s="186"/>
      <c r="M2420" s="186"/>
      <c r="N2420" s="186"/>
      <c r="O2420" s="186"/>
      <c r="P2420" s="186"/>
      <c r="Q2420" s="182"/>
      <c r="R2420" s="182"/>
      <c r="S2420" s="182"/>
      <c r="T2420" s="186"/>
      <c r="U2420" s="186"/>
    </row>
    <row r="2421" spans="2:21" x14ac:dyDescent="0.2">
      <c r="B2421" s="182"/>
      <c r="C2421" s="182"/>
      <c r="D2421" s="182"/>
      <c r="E2421" s="182"/>
      <c r="F2421" s="182"/>
      <c r="I2421" s="40"/>
      <c r="J2421" s="186"/>
      <c r="K2421" s="186"/>
      <c r="L2421" s="186"/>
      <c r="M2421" s="186"/>
      <c r="N2421" s="186"/>
      <c r="O2421" s="186"/>
      <c r="P2421" s="186"/>
      <c r="Q2421" s="182"/>
      <c r="R2421" s="182"/>
      <c r="S2421" s="182"/>
      <c r="T2421" s="186"/>
      <c r="U2421" s="186"/>
    </row>
    <row r="2422" spans="2:21" x14ac:dyDescent="0.2">
      <c r="B2422" s="182"/>
      <c r="C2422" s="182"/>
      <c r="D2422" s="182"/>
      <c r="E2422" s="182"/>
      <c r="F2422" s="182"/>
      <c r="I2422" s="40"/>
      <c r="J2422" s="186"/>
      <c r="K2422" s="186"/>
      <c r="L2422" s="186"/>
      <c r="M2422" s="186"/>
      <c r="N2422" s="186"/>
      <c r="O2422" s="186"/>
      <c r="P2422" s="186"/>
      <c r="Q2422" s="182"/>
      <c r="R2422" s="182"/>
      <c r="S2422" s="182"/>
      <c r="T2422" s="186"/>
      <c r="U2422" s="186"/>
    </row>
    <row r="2423" spans="2:21" x14ac:dyDescent="0.2">
      <c r="B2423" s="182"/>
      <c r="C2423" s="182"/>
      <c r="D2423" s="182"/>
      <c r="E2423" s="182"/>
      <c r="F2423" s="182"/>
      <c r="I2423" s="40"/>
      <c r="J2423" s="186"/>
      <c r="K2423" s="186"/>
      <c r="L2423" s="186"/>
      <c r="M2423" s="186"/>
      <c r="N2423" s="186"/>
      <c r="O2423" s="186"/>
      <c r="P2423" s="186"/>
      <c r="Q2423" s="182"/>
      <c r="R2423" s="182"/>
      <c r="S2423" s="182"/>
      <c r="T2423" s="186"/>
      <c r="U2423" s="186"/>
    </row>
    <row r="2424" spans="2:21" x14ac:dyDescent="0.2">
      <c r="B2424" s="182"/>
      <c r="C2424" s="182"/>
      <c r="D2424" s="182"/>
      <c r="E2424" s="182"/>
      <c r="F2424" s="182"/>
      <c r="I2424" s="40"/>
      <c r="J2424" s="186"/>
      <c r="K2424" s="186"/>
      <c r="L2424" s="186"/>
      <c r="M2424" s="186"/>
      <c r="N2424" s="186"/>
      <c r="O2424" s="186"/>
      <c r="P2424" s="186"/>
      <c r="Q2424" s="182"/>
      <c r="R2424" s="182"/>
      <c r="S2424" s="182"/>
      <c r="T2424" s="186"/>
      <c r="U2424" s="186"/>
    </row>
    <row r="2425" spans="2:21" x14ac:dyDescent="0.2">
      <c r="B2425" s="182"/>
      <c r="C2425" s="182"/>
      <c r="D2425" s="182"/>
      <c r="E2425" s="182"/>
      <c r="F2425" s="182"/>
      <c r="I2425" s="40"/>
      <c r="J2425" s="186"/>
      <c r="K2425" s="186"/>
      <c r="L2425" s="186"/>
      <c r="M2425" s="186"/>
      <c r="N2425" s="186"/>
      <c r="O2425" s="186"/>
      <c r="P2425" s="186"/>
      <c r="Q2425" s="182"/>
      <c r="R2425" s="182"/>
      <c r="S2425" s="182"/>
      <c r="T2425" s="186"/>
      <c r="U2425" s="186"/>
    </row>
    <row r="2426" spans="2:21" x14ac:dyDescent="0.2">
      <c r="B2426" s="182"/>
      <c r="C2426" s="182"/>
      <c r="D2426" s="182"/>
      <c r="E2426" s="182"/>
      <c r="F2426" s="182"/>
      <c r="I2426" s="40"/>
      <c r="J2426" s="186"/>
      <c r="K2426" s="186"/>
      <c r="L2426" s="186"/>
      <c r="M2426" s="186"/>
      <c r="N2426" s="186"/>
      <c r="O2426" s="186"/>
      <c r="P2426" s="186"/>
      <c r="Q2426" s="182"/>
      <c r="R2426" s="182"/>
      <c r="S2426" s="182"/>
      <c r="T2426" s="186"/>
      <c r="U2426" s="186"/>
    </row>
    <row r="2427" spans="2:21" x14ac:dyDescent="0.2">
      <c r="B2427" s="182"/>
      <c r="C2427" s="182"/>
      <c r="D2427" s="182"/>
      <c r="E2427" s="182"/>
      <c r="F2427" s="182"/>
      <c r="I2427" s="40"/>
      <c r="J2427" s="186"/>
      <c r="K2427" s="186"/>
      <c r="L2427" s="186"/>
      <c r="M2427" s="186"/>
      <c r="N2427" s="186"/>
      <c r="O2427" s="186"/>
      <c r="P2427" s="186"/>
      <c r="Q2427" s="182"/>
      <c r="R2427" s="182"/>
      <c r="S2427" s="182"/>
      <c r="T2427" s="186"/>
      <c r="U2427" s="186"/>
    </row>
    <row r="2428" spans="2:21" x14ac:dyDescent="0.2">
      <c r="B2428" s="182"/>
      <c r="C2428" s="182"/>
      <c r="D2428" s="182"/>
      <c r="E2428" s="182"/>
      <c r="F2428" s="182"/>
      <c r="I2428" s="40"/>
      <c r="J2428" s="186"/>
      <c r="K2428" s="186"/>
      <c r="L2428" s="186"/>
      <c r="M2428" s="186"/>
      <c r="N2428" s="186"/>
      <c r="O2428" s="186"/>
      <c r="P2428" s="186"/>
      <c r="Q2428" s="182"/>
      <c r="R2428" s="182"/>
      <c r="S2428" s="182"/>
      <c r="T2428" s="186"/>
      <c r="U2428" s="186"/>
    </row>
    <row r="2429" spans="2:21" x14ac:dyDescent="0.2">
      <c r="B2429" s="182"/>
      <c r="C2429" s="182"/>
      <c r="D2429" s="182"/>
      <c r="E2429" s="182"/>
      <c r="F2429" s="182"/>
      <c r="I2429" s="40"/>
      <c r="J2429" s="186"/>
      <c r="K2429" s="186"/>
      <c r="L2429" s="186"/>
      <c r="M2429" s="186"/>
      <c r="N2429" s="186"/>
      <c r="O2429" s="186"/>
      <c r="P2429" s="186"/>
      <c r="Q2429" s="182"/>
      <c r="R2429" s="182"/>
      <c r="S2429" s="182"/>
      <c r="T2429" s="186"/>
      <c r="U2429" s="186"/>
    </row>
    <row r="2430" spans="2:21" x14ac:dyDescent="0.2">
      <c r="B2430" s="182"/>
      <c r="C2430" s="182"/>
      <c r="D2430" s="182"/>
      <c r="E2430" s="182"/>
      <c r="F2430" s="182"/>
      <c r="I2430" s="40"/>
      <c r="J2430" s="186"/>
      <c r="K2430" s="186"/>
      <c r="L2430" s="186"/>
      <c r="M2430" s="186"/>
      <c r="N2430" s="186"/>
      <c r="O2430" s="186"/>
      <c r="P2430" s="186"/>
      <c r="Q2430" s="182"/>
      <c r="R2430" s="182"/>
      <c r="S2430" s="182"/>
      <c r="T2430" s="186"/>
      <c r="U2430" s="186"/>
    </row>
    <row r="2431" spans="2:21" x14ac:dyDescent="0.2">
      <c r="B2431" s="182"/>
      <c r="C2431" s="182"/>
      <c r="D2431" s="182"/>
      <c r="E2431" s="182"/>
      <c r="F2431" s="182"/>
      <c r="I2431" s="40"/>
      <c r="J2431" s="186"/>
      <c r="K2431" s="186"/>
      <c r="L2431" s="186"/>
      <c r="M2431" s="186"/>
      <c r="N2431" s="186"/>
      <c r="O2431" s="186"/>
      <c r="P2431" s="186"/>
      <c r="Q2431" s="182"/>
      <c r="R2431" s="182"/>
      <c r="S2431" s="182"/>
      <c r="T2431" s="186"/>
      <c r="U2431" s="186"/>
    </row>
    <row r="2432" spans="2:21" x14ac:dyDescent="0.2">
      <c r="B2432" s="182"/>
      <c r="C2432" s="182"/>
      <c r="D2432" s="182"/>
      <c r="E2432" s="182"/>
      <c r="F2432" s="182"/>
      <c r="I2432" s="40"/>
      <c r="J2432" s="186"/>
      <c r="K2432" s="186"/>
      <c r="L2432" s="186"/>
      <c r="M2432" s="186"/>
      <c r="N2432" s="186"/>
      <c r="O2432" s="186"/>
      <c r="P2432" s="186"/>
      <c r="Q2432" s="182"/>
      <c r="R2432" s="182"/>
      <c r="S2432" s="182"/>
      <c r="T2432" s="186"/>
      <c r="U2432" s="186"/>
    </row>
    <row r="2433" spans="2:21" x14ac:dyDescent="0.2">
      <c r="B2433" s="182"/>
      <c r="C2433" s="182"/>
      <c r="D2433" s="182"/>
      <c r="E2433" s="182"/>
      <c r="F2433" s="182"/>
      <c r="I2433" s="40"/>
      <c r="J2433" s="186"/>
      <c r="K2433" s="186"/>
      <c r="L2433" s="186"/>
      <c r="M2433" s="186"/>
      <c r="N2433" s="186"/>
      <c r="O2433" s="186"/>
      <c r="P2433" s="186"/>
      <c r="Q2433" s="182"/>
      <c r="R2433" s="182"/>
      <c r="S2433" s="182"/>
      <c r="T2433" s="186"/>
      <c r="U2433" s="186"/>
    </row>
    <row r="2434" spans="2:21" x14ac:dyDescent="0.2">
      <c r="B2434" s="182"/>
      <c r="C2434" s="182"/>
      <c r="D2434" s="182"/>
      <c r="E2434" s="182"/>
      <c r="F2434" s="182"/>
      <c r="I2434" s="40"/>
      <c r="J2434" s="186"/>
      <c r="K2434" s="186"/>
      <c r="L2434" s="186"/>
      <c r="M2434" s="186"/>
      <c r="N2434" s="186"/>
      <c r="O2434" s="186"/>
      <c r="P2434" s="186"/>
      <c r="Q2434" s="182"/>
      <c r="R2434" s="182"/>
      <c r="S2434" s="182"/>
      <c r="T2434" s="186"/>
      <c r="U2434" s="186"/>
    </row>
    <row r="2435" spans="2:21" x14ac:dyDescent="0.2">
      <c r="B2435" s="182"/>
      <c r="C2435" s="182"/>
      <c r="D2435" s="182"/>
      <c r="E2435" s="182"/>
      <c r="F2435" s="182"/>
      <c r="I2435" s="40"/>
      <c r="J2435" s="186"/>
      <c r="K2435" s="186"/>
      <c r="L2435" s="186"/>
      <c r="M2435" s="186"/>
      <c r="N2435" s="186"/>
      <c r="O2435" s="186"/>
      <c r="P2435" s="186"/>
      <c r="Q2435" s="182"/>
      <c r="R2435" s="182"/>
      <c r="S2435" s="182"/>
      <c r="T2435" s="186"/>
      <c r="U2435" s="186"/>
    </row>
    <row r="2436" spans="2:21" x14ac:dyDescent="0.2">
      <c r="B2436" s="182"/>
      <c r="C2436" s="182"/>
      <c r="D2436" s="182"/>
      <c r="E2436" s="182"/>
      <c r="F2436" s="182"/>
      <c r="I2436" s="40"/>
      <c r="J2436" s="186"/>
      <c r="K2436" s="186"/>
      <c r="L2436" s="186"/>
      <c r="M2436" s="186"/>
      <c r="N2436" s="186"/>
      <c r="O2436" s="186"/>
      <c r="P2436" s="186"/>
      <c r="Q2436" s="182"/>
      <c r="R2436" s="182"/>
      <c r="S2436" s="182"/>
      <c r="T2436" s="186"/>
      <c r="U2436" s="186"/>
    </row>
    <row r="2437" spans="2:21" x14ac:dyDescent="0.2">
      <c r="B2437" s="182"/>
      <c r="C2437" s="182"/>
      <c r="D2437" s="182"/>
      <c r="E2437" s="182"/>
      <c r="F2437" s="182"/>
      <c r="I2437" s="40"/>
      <c r="J2437" s="186"/>
      <c r="K2437" s="186"/>
      <c r="L2437" s="186"/>
      <c r="M2437" s="186"/>
      <c r="N2437" s="186"/>
      <c r="O2437" s="186"/>
      <c r="P2437" s="186"/>
      <c r="Q2437" s="182"/>
      <c r="R2437" s="182"/>
      <c r="S2437" s="182"/>
      <c r="T2437" s="186"/>
      <c r="U2437" s="186"/>
    </row>
    <row r="2438" spans="2:21" x14ac:dyDescent="0.2">
      <c r="B2438" s="182"/>
      <c r="C2438" s="182"/>
      <c r="D2438" s="182"/>
      <c r="E2438" s="182"/>
      <c r="F2438" s="182"/>
      <c r="I2438" s="40"/>
      <c r="J2438" s="186"/>
      <c r="K2438" s="186"/>
      <c r="L2438" s="186"/>
      <c r="M2438" s="186"/>
      <c r="N2438" s="186"/>
      <c r="O2438" s="186"/>
      <c r="P2438" s="186"/>
      <c r="Q2438" s="182"/>
      <c r="R2438" s="182"/>
      <c r="S2438" s="182"/>
      <c r="T2438" s="186"/>
      <c r="U2438" s="186"/>
    </row>
    <row r="2439" spans="2:21" x14ac:dyDescent="0.2">
      <c r="B2439" s="182"/>
      <c r="C2439" s="182"/>
      <c r="D2439" s="182"/>
      <c r="E2439" s="182"/>
      <c r="F2439" s="182"/>
      <c r="I2439" s="40"/>
      <c r="J2439" s="186"/>
      <c r="K2439" s="186"/>
      <c r="L2439" s="186"/>
      <c r="M2439" s="186"/>
      <c r="N2439" s="186"/>
      <c r="O2439" s="186"/>
      <c r="P2439" s="186"/>
      <c r="Q2439" s="182"/>
      <c r="R2439" s="182"/>
      <c r="S2439" s="182"/>
      <c r="T2439" s="186"/>
      <c r="U2439" s="186"/>
    </row>
    <row r="2440" spans="2:21" x14ac:dyDescent="0.2">
      <c r="B2440" s="182"/>
      <c r="C2440" s="182"/>
      <c r="D2440" s="182"/>
      <c r="E2440" s="182"/>
      <c r="F2440" s="182"/>
      <c r="I2440" s="40"/>
      <c r="J2440" s="186"/>
      <c r="K2440" s="186"/>
      <c r="L2440" s="186"/>
      <c r="M2440" s="186"/>
      <c r="N2440" s="186"/>
      <c r="O2440" s="186"/>
      <c r="P2440" s="186"/>
      <c r="Q2440" s="182"/>
      <c r="R2440" s="182"/>
      <c r="S2440" s="182"/>
      <c r="T2440" s="186"/>
      <c r="U2440" s="186"/>
    </row>
    <row r="2441" spans="2:21" x14ac:dyDescent="0.2">
      <c r="B2441" s="182"/>
      <c r="C2441" s="182"/>
      <c r="D2441" s="182"/>
      <c r="E2441" s="182"/>
      <c r="F2441" s="182"/>
      <c r="I2441" s="40"/>
      <c r="J2441" s="186"/>
      <c r="K2441" s="186"/>
      <c r="L2441" s="186"/>
      <c r="M2441" s="186"/>
      <c r="N2441" s="186"/>
      <c r="O2441" s="186"/>
      <c r="P2441" s="186"/>
      <c r="Q2441" s="182"/>
      <c r="R2441" s="182"/>
      <c r="S2441" s="182"/>
      <c r="T2441" s="186"/>
      <c r="U2441" s="186"/>
    </row>
    <row r="2442" spans="2:21" x14ac:dyDescent="0.2">
      <c r="B2442" s="182"/>
      <c r="C2442" s="182"/>
      <c r="D2442" s="182"/>
      <c r="E2442" s="182"/>
      <c r="F2442" s="182"/>
      <c r="I2442" s="40"/>
      <c r="J2442" s="186"/>
      <c r="K2442" s="186"/>
      <c r="L2442" s="186"/>
      <c r="M2442" s="186"/>
      <c r="N2442" s="186"/>
      <c r="O2442" s="186"/>
      <c r="P2442" s="186"/>
      <c r="Q2442" s="182"/>
      <c r="R2442" s="182"/>
      <c r="S2442" s="182"/>
      <c r="T2442" s="186"/>
      <c r="U2442" s="186"/>
    </row>
    <row r="2443" spans="2:21" x14ac:dyDescent="0.2">
      <c r="B2443" s="182"/>
      <c r="C2443" s="182"/>
      <c r="D2443" s="182"/>
      <c r="E2443" s="182"/>
      <c r="F2443" s="182"/>
      <c r="I2443" s="40"/>
      <c r="J2443" s="186"/>
      <c r="K2443" s="186"/>
      <c r="L2443" s="186"/>
      <c r="M2443" s="186"/>
      <c r="N2443" s="186"/>
      <c r="O2443" s="186"/>
      <c r="P2443" s="186"/>
      <c r="Q2443" s="182"/>
      <c r="R2443" s="182"/>
      <c r="S2443" s="182"/>
      <c r="T2443" s="186"/>
      <c r="U2443" s="186"/>
    </row>
    <row r="2444" spans="2:21" x14ac:dyDescent="0.2">
      <c r="B2444" s="182"/>
      <c r="C2444" s="182"/>
      <c r="D2444" s="182"/>
      <c r="E2444" s="182"/>
      <c r="F2444" s="182"/>
      <c r="I2444" s="40"/>
      <c r="J2444" s="186"/>
      <c r="K2444" s="186"/>
      <c r="L2444" s="186"/>
      <c r="M2444" s="186"/>
      <c r="N2444" s="186"/>
      <c r="O2444" s="186"/>
      <c r="P2444" s="186"/>
      <c r="Q2444" s="182"/>
      <c r="R2444" s="182"/>
      <c r="S2444" s="182"/>
      <c r="T2444" s="186"/>
      <c r="U2444" s="186"/>
    </row>
    <row r="2445" spans="2:21" x14ac:dyDescent="0.2">
      <c r="B2445" s="182"/>
      <c r="C2445" s="182"/>
      <c r="D2445" s="182"/>
      <c r="E2445" s="182"/>
      <c r="F2445" s="182"/>
      <c r="I2445" s="40"/>
      <c r="J2445" s="186"/>
      <c r="K2445" s="186"/>
      <c r="L2445" s="186"/>
      <c r="M2445" s="186"/>
      <c r="N2445" s="186"/>
      <c r="O2445" s="186"/>
      <c r="P2445" s="186"/>
      <c r="Q2445" s="182"/>
      <c r="R2445" s="182"/>
      <c r="S2445" s="182"/>
      <c r="T2445" s="186"/>
      <c r="U2445" s="186"/>
    </row>
    <row r="2446" spans="2:21" x14ac:dyDescent="0.2">
      <c r="B2446" s="182"/>
      <c r="C2446" s="182"/>
      <c r="D2446" s="182"/>
      <c r="E2446" s="182"/>
      <c r="F2446" s="182"/>
      <c r="I2446" s="40"/>
      <c r="J2446" s="186"/>
      <c r="K2446" s="186"/>
      <c r="L2446" s="186"/>
      <c r="M2446" s="186"/>
      <c r="N2446" s="186"/>
      <c r="O2446" s="186"/>
      <c r="P2446" s="186"/>
      <c r="Q2446" s="182"/>
      <c r="R2446" s="182"/>
      <c r="S2446" s="182"/>
      <c r="T2446" s="186"/>
      <c r="U2446" s="186"/>
    </row>
    <row r="2447" spans="2:21" x14ac:dyDescent="0.2">
      <c r="B2447" s="182"/>
      <c r="C2447" s="182"/>
      <c r="D2447" s="182"/>
      <c r="E2447" s="182"/>
      <c r="F2447" s="182"/>
      <c r="I2447" s="40"/>
      <c r="J2447" s="186"/>
      <c r="K2447" s="186"/>
      <c r="L2447" s="186"/>
      <c r="M2447" s="186"/>
      <c r="N2447" s="186"/>
      <c r="O2447" s="186"/>
      <c r="P2447" s="186"/>
      <c r="Q2447" s="182"/>
      <c r="R2447" s="182"/>
      <c r="S2447" s="182"/>
      <c r="T2447" s="186"/>
      <c r="U2447" s="186"/>
    </row>
    <row r="2448" spans="2:21" x14ac:dyDescent="0.2">
      <c r="B2448" s="182"/>
      <c r="C2448" s="182"/>
      <c r="D2448" s="182"/>
      <c r="E2448" s="182"/>
      <c r="F2448" s="182"/>
      <c r="I2448" s="40"/>
      <c r="J2448" s="186"/>
      <c r="K2448" s="186"/>
      <c r="L2448" s="186"/>
      <c r="M2448" s="186"/>
      <c r="N2448" s="186"/>
      <c r="O2448" s="186"/>
      <c r="P2448" s="186"/>
      <c r="Q2448" s="182"/>
      <c r="R2448" s="182"/>
      <c r="S2448" s="182"/>
      <c r="T2448" s="186"/>
      <c r="U2448" s="186"/>
    </row>
    <row r="2449" spans="2:21" x14ac:dyDescent="0.2">
      <c r="B2449" s="182"/>
      <c r="C2449" s="182"/>
      <c r="D2449" s="182"/>
      <c r="E2449" s="182"/>
      <c r="F2449" s="182"/>
      <c r="I2449" s="40"/>
      <c r="J2449" s="186"/>
      <c r="K2449" s="186"/>
      <c r="L2449" s="186"/>
      <c r="M2449" s="186"/>
      <c r="N2449" s="186"/>
      <c r="O2449" s="186"/>
      <c r="P2449" s="186"/>
      <c r="Q2449" s="182"/>
      <c r="R2449" s="182"/>
      <c r="S2449" s="182"/>
      <c r="T2449" s="186"/>
      <c r="U2449" s="186"/>
    </row>
    <row r="2450" spans="2:21" x14ac:dyDescent="0.2">
      <c r="B2450" s="182"/>
      <c r="C2450" s="182"/>
      <c r="D2450" s="182"/>
      <c r="E2450" s="182"/>
      <c r="F2450" s="182"/>
      <c r="I2450" s="40"/>
      <c r="J2450" s="186"/>
      <c r="K2450" s="186"/>
      <c r="L2450" s="186"/>
      <c r="M2450" s="186"/>
      <c r="N2450" s="186"/>
      <c r="O2450" s="186"/>
      <c r="P2450" s="186"/>
      <c r="Q2450" s="182"/>
      <c r="R2450" s="182"/>
      <c r="S2450" s="182"/>
      <c r="T2450" s="186"/>
      <c r="U2450" s="186"/>
    </row>
    <row r="2451" spans="2:21" x14ac:dyDescent="0.2">
      <c r="B2451" s="182"/>
      <c r="C2451" s="182"/>
      <c r="D2451" s="182"/>
      <c r="E2451" s="182"/>
      <c r="F2451" s="182"/>
      <c r="I2451" s="40"/>
      <c r="J2451" s="186"/>
      <c r="K2451" s="186"/>
      <c r="L2451" s="186"/>
      <c r="M2451" s="186"/>
      <c r="N2451" s="186"/>
      <c r="O2451" s="186"/>
      <c r="P2451" s="186"/>
      <c r="Q2451" s="182"/>
      <c r="R2451" s="182"/>
      <c r="S2451" s="182"/>
      <c r="T2451" s="186"/>
      <c r="U2451" s="186"/>
    </row>
    <row r="2452" spans="2:21" x14ac:dyDescent="0.2">
      <c r="B2452" s="182"/>
      <c r="C2452" s="182"/>
      <c r="D2452" s="182"/>
      <c r="E2452" s="182"/>
      <c r="F2452" s="182"/>
      <c r="I2452" s="40"/>
      <c r="J2452" s="186"/>
      <c r="K2452" s="186"/>
      <c r="L2452" s="186"/>
      <c r="M2452" s="186"/>
      <c r="N2452" s="186"/>
      <c r="O2452" s="186"/>
      <c r="P2452" s="186"/>
      <c r="Q2452" s="182"/>
      <c r="R2452" s="182"/>
      <c r="S2452" s="182"/>
      <c r="T2452" s="186"/>
      <c r="U2452" s="186"/>
    </row>
    <row r="2453" spans="2:21" x14ac:dyDescent="0.2">
      <c r="B2453" s="182"/>
      <c r="C2453" s="182"/>
      <c r="D2453" s="182"/>
      <c r="E2453" s="182"/>
      <c r="F2453" s="182"/>
      <c r="I2453" s="40"/>
      <c r="J2453" s="186"/>
      <c r="K2453" s="186"/>
      <c r="L2453" s="186"/>
      <c r="M2453" s="186"/>
      <c r="N2453" s="186"/>
      <c r="O2453" s="186"/>
      <c r="P2453" s="186"/>
      <c r="Q2453" s="182"/>
      <c r="R2453" s="182"/>
      <c r="S2453" s="182"/>
      <c r="T2453" s="186"/>
      <c r="U2453" s="186"/>
    </row>
    <row r="2454" spans="2:21" x14ac:dyDescent="0.2">
      <c r="B2454" s="182"/>
      <c r="C2454" s="182"/>
      <c r="D2454" s="182"/>
      <c r="E2454" s="182"/>
      <c r="F2454" s="182"/>
      <c r="I2454" s="40"/>
      <c r="J2454" s="186"/>
      <c r="K2454" s="186"/>
      <c r="L2454" s="186"/>
      <c r="M2454" s="186"/>
      <c r="N2454" s="186"/>
      <c r="O2454" s="186"/>
      <c r="P2454" s="186"/>
      <c r="Q2454" s="182"/>
      <c r="R2454" s="182"/>
      <c r="S2454" s="182"/>
      <c r="T2454" s="186"/>
      <c r="U2454" s="186"/>
    </row>
    <row r="2455" spans="2:21" x14ac:dyDescent="0.2">
      <c r="B2455" s="182"/>
      <c r="C2455" s="182"/>
      <c r="D2455" s="182"/>
      <c r="E2455" s="182"/>
      <c r="F2455" s="182"/>
      <c r="I2455" s="40"/>
      <c r="J2455" s="186"/>
      <c r="K2455" s="186"/>
      <c r="L2455" s="186"/>
      <c r="M2455" s="186"/>
      <c r="N2455" s="186"/>
      <c r="O2455" s="186"/>
      <c r="P2455" s="186"/>
      <c r="Q2455" s="182"/>
      <c r="R2455" s="182"/>
      <c r="S2455" s="182"/>
      <c r="T2455" s="186"/>
      <c r="U2455" s="186"/>
    </row>
    <row r="2456" spans="2:21" x14ac:dyDescent="0.2">
      <c r="B2456" s="182"/>
      <c r="C2456" s="182"/>
      <c r="D2456" s="182"/>
      <c r="E2456" s="182"/>
      <c r="F2456" s="182"/>
      <c r="I2456" s="40"/>
      <c r="J2456" s="186"/>
      <c r="K2456" s="186"/>
      <c r="L2456" s="186"/>
      <c r="M2456" s="186"/>
      <c r="N2456" s="186"/>
      <c r="O2456" s="186"/>
      <c r="P2456" s="186"/>
      <c r="Q2456" s="182"/>
      <c r="R2456" s="182"/>
      <c r="S2456" s="182"/>
      <c r="T2456" s="186"/>
      <c r="U2456" s="186"/>
    </row>
    <row r="2457" spans="2:21" x14ac:dyDescent="0.2">
      <c r="B2457" s="182"/>
      <c r="C2457" s="182"/>
      <c r="D2457" s="182"/>
      <c r="E2457" s="182"/>
      <c r="F2457" s="182"/>
      <c r="I2457" s="40"/>
      <c r="J2457" s="186"/>
      <c r="K2457" s="186"/>
      <c r="L2457" s="186"/>
      <c r="M2457" s="186"/>
      <c r="N2457" s="186"/>
      <c r="O2457" s="186"/>
      <c r="P2457" s="186"/>
      <c r="Q2457" s="182"/>
      <c r="R2457" s="182"/>
      <c r="S2457" s="182"/>
      <c r="T2457" s="186"/>
      <c r="U2457" s="186"/>
    </row>
    <row r="2458" spans="2:21" x14ac:dyDescent="0.2">
      <c r="B2458" s="182"/>
      <c r="C2458" s="182"/>
      <c r="D2458" s="182"/>
      <c r="E2458" s="182"/>
      <c r="F2458" s="182"/>
      <c r="I2458" s="40"/>
      <c r="J2458" s="186"/>
      <c r="K2458" s="186"/>
      <c r="L2458" s="186"/>
      <c r="M2458" s="186"/>
      <c r="N2458" s="186"/>
      <c r="O2458" s="186"/>
      <c r="P2458" s="186"/>
      <c r="Q2458" s="182"/>
      <c r="R2458" s="182"/>
      <c r="S2458" s="182"/>
      <c r="T2458" s="186"/>
      <c r="U2458" s="186"/>
    </row>
    <row r="2459" spans="2:21" x14ac:dyDescent="0.2">
      <c r="B2459" s="182"/>
      <c r="C2459" s="182"/>
      <c r="D2459" s="182"/>
      <c r="E2459" s="182"/>
      <c r="F2459" s="182"/>
      <c r="I2459" s="40"/>
      <c r="J2459" s="186"/>
      <c r="K2459" s="186"/>
      <c r="L2459" s="186"/>
      <c r="M2459" s="186"/>
      <c r="N2459" s="186"/>
      <c r="O2459" s="186"/>
      <c r="P2459" s="186"/>
      <c r="Q2459" s="182"/>
      <c r="R2459" s="182"/>
      <c r="S2459" s="182"/>
      <c r="T2459" s="186"/>
      <c r="U2459" s="186"/>
    </row>
    <row r="2460" spans="2:21" x14ac:dyDescent="0.2">
      <c r="B2460" s="182"/>
      <c r="C2460" s="182"/>
      <c r="D2460" s="182"/>
      <c r="E2460" s="182"/>
      <c r="F2460" s="182"/>
      <c r="I2460" s="40"/>
      <c r="J2460" s="186"/>
      <c r="K2460" s="186"/>
      <c r="L2460" s="186"/>
      <c r="M2460" s="186"/>
      <c r="N2460" s="186"/>
      <c r="O2460" s="186"/>
      <c r="P2460" s="186"/>
      <c r="Q2460" s="182"/>
      <c r="R2460" s="182"/>
      <c r="S2460" s="182"/>
      <c r="T2460" s="186"/>
      <c r="U2460" s="186"/>
    </row>
    <row r="2461" spans="2:21" x14ac:dyDescent="0.2">
      <c r="B2461" s="182"/>
      <c r="C2461" s="182"/>
      <c r="D2461" s="182"/>
      <c r="E2461" s="182"/>
      <c r="F2461" s="182"/>
      <c r="I2461" s="40"/>
      <c r="J2461" s="186"/>
      <c r="K2461" s="186"/>
      <c r="L2461" s="186"/>
      <c r="M2461" s="186"/>
      <c r="N2461" s="186"/>
      <c r="O2461" s="186"/>
      <c r="P2461" s="186"/>
      <c r="Q2461" s="182"/>
      <c r="R2461" s="182"/>
      <c r="S2461" s="182"/>
      <c r="T2461" s="186"/>
      <c r="U2461" s="186"/>
    </row>
    <row r="2462" spans="2:21" x14ac:dyDescent="0.2">
      <c r="B2462" s="182"/>
      <c r="C2462" s="182"/>
      <c r="D2462" s="182"/>
      <c r="E2462" s="182"/>
      <c r="F2462" s="182"/>
      <c r="I2462" s="40"/>
      <c r="J2462" s="186"/>
      <c r="K2462" s="186"/>
      <c r="L2462" s="186"/>
      <c r="M2462" s="186"/>
      <c r="N2462" s="186"/>
      <c r="O2462" s="186"/>
      <c r="P2462" s="186"/>
      <c r="Q2462" s="182"/>
      <c r="R2462" s="182"/>
      <c r="S2462" s="182"/>
      <c r="T2462" s="186"/>
      <c r="U2462" s="186"/>
    </row>
    <row r="2463" spans="2:21" x14ac:dyDescent="0.2">
      <c r="B2463" s="182"/>
      <c r="C2463" s="182"/>
      <c r="D2463" s="182"/>
      <c r="E2463" s="182"/>
      <c r="F2463" s="182"/>
      <c r="I2463" s="40"/>
      <c r="J2463" s="186"/>
      <c r="K2463" s="186"/>
      <c r="L2463" s="186"/>
      <c r="M2463" s="186"/>
      <c r="N2463" s="186"/>
      <c r="O2463" s="186"/>
      <c r="P2463" s="186"/>
      <c r="Q2463" s="182"/>
      <c r="R2463" s="182"/>
      <c r="S2463" s="182"/>
      <c r="T2463" s="186"/>
      <c r="U2463" s="186"/>
    </row>
    <row r="2464" spans="2:21" x14ac:dyDescent="0.2">
      <c r="B2464" s="182"/>
      <c r="C2464" s="182"/>
      <c r="D2464" s="182"/>
      <c r="E2464" s="182"/>
      <c r="F2464" s="182"/>
      <c r="I2464" s="40"/>
      <c r="J2464" s="186"/>
      <c r="K2464" s="186"/>
      <c r="L2464" s="186"/>
      <c r="M2464" s="186"/>
      <c r="N2464" s="186"/>
      <c r="O2464" s="186"/>
      <c r="P2464" s="186"/>
      <c r="Q2464" s="182"/>
      <c r="R2464" s="182"/>
      <c r="S2464" s="182"/>
      <c r="T2464" s="186"/>
      <c r="U2464" s="186"/>
    </row>
    <row r="2465" spans="2:21" x14ac:dyDescent="0.2">
      <c r="B2465" s="182"/>
      <c r="C2465" s="182"/>
      <c r="D2465" s="182"/>
      <c r="E2465" s="182"/>
      <c r="F2465" s="182"/>
      <c r="I2465" s="40"/>
      <c r="J2465" s="186"/>
      <c r="K2465" s="186"/>
      <c r="L2465" s="186"/>
      <c r="M2465" s="186"/>
      <c r="N2465" s="186"/>
      <c r="O2465" s="186"/>
      <c r="P2465" s="186"/>
      <c r="Q2465" s="182"/>
      <c r="R2465" s="182"/>
      <c r="S2465" s="182"/>
      <c r="T2465" s="186"/>
      <c r="U2465" s="186"/>
    </row>
    <row r="2466" spans="2:21" x14ac:dyDescent="0.2">
      <c r="B2466" s="182"/>
      <c r="C2466" s="182"/>
      <c r="D2466" s="182"/>
      <c r="E2466" s="182"/>
      <c r="F2466" s="182"/>
      <c r="I2466" s="40"/>
      <c r="J2466" s="186"/>
      <c r="K2466" s="186"/>
      <c r="L2466" s="186"/>
      <c r="M2466" s="186"/>
      <c r="N2466" s="186"/>
      <c r="O2466" s="186"/>
      <c r="P2466" s="186"/>
      <c r="Q2466" s="182"/>
      <c r="R2466" s="182"/>
      <c r="S2466" s="182"/>
      <c r="T2466" s="186"/>
      <c r="U2466" s="186"/>
    </row>
    <row r="2467" spans="2:21" x14ac:dyDescent="0.2">
      <c r="B2467" s="182"/>
      <c r="C2467" s="182"/>
      <c r="D2467" s="182"/>
      <c r="E2467" s="182"/>
      <c r="F2467" s="182"/>
      <c r="I2467" s="40"/>
      <c r="J2467" s="186"/>
      <c r="K2467" s="186"/>
      <c r="L2467" s="186"/>
      <c r="M2467" s="186"/>
      <c r="N2467" s="186"/>
      <c r="O2467" s="186"/>
      <c r="P2467" s="186"/>
      <c r="Q2467" s="182"/>
      <c r="R2467" s="182"/>
      <c r="S2467" s="182"/>
      <c r="T2467" s="186"/>
      <c r="U2467" s="186"/>
    </row>
    <row r="2468" spans="2:21" x14ac:dyDescent="0.2">
      <c r="B2468" s="182"/>
      <c r="C2468" s="182"/>
      <c r="D2468" s="182"/>
      <c r="E2468" s="182"/>
      <c r="F2468" s="182"/>
      <c r="I2468" s="40"/>
      <c r="J2468" s="186"/>
      <c r="K2468" s="186"/>
      <c r="L2468" s="186"/>
      <c r="M2468" s="186"/>
      <c r="N2468" s="186"/>
      <c r="O2468" s="186"/>
      <c r="P2468" s="186"/>
      <c r="Q2468" s="182"/>
      <c r="R2468" s="182"/>
      <c r="S2468" s="182"/>
      <c r="T2468" s="186"/>
      <c r="U2468" s="186"/>
    </row>
    <row r="2469" spans="2:21" x14ac:dyDescent="0.2">
      <c r="B2469" s="182"/>
      <c r="C2469" s="182"/>
      <c r="D2469" s="182"/>
      <c r="E2469" s="182"/>
      <c r="F2469" s="182"/>
      <c r="I2469" s="40"/>
      <c r="J2469" s="186"/>
      <c r="K2469" s="186"/>
      <c r="L2469" s="186"/>
      <c r="M2469" s="186"/>
      <c r="N2469" s="186"/>
      <c r="O2469" s="186"/>
      <c r="P2469" s="186"/>
      <c r="Q2469" s="182"/>
      <c r="R2469" s="182"/>
      <c r="S2469" s="182"/>
      <c r="T2469" s="186"/>
      <c r="U2469" s="186"/>
    </row>
    <row r="2470" spans="2:21" x14ac:dyDescent="0.2">
      <c r="B2470" s="182"/>
      <c r="C2470" s="182"/>
      <c r="D2470" s="182"/>
      <c r="E2470" s="182"/>
      <c r="F2470" s="182"/>
      <c r="I2470" s="40"/>
      <c r="J2470" s="186"/>
      <c r="K2470" s="186"/>
      <c r="L2470" s="186"/>
      <c r="M2470" s="186"/>
      <c r="N2470" s="186"/>
      <c r="O2470" s="186"/>
      <c r="P2470" s="186"/>
      <c r="Q2470" s="182"/>
      <c r="R2470" s="182"/>
      <c r="S2470" s="182"/>
      <c r="T2470" s="186"/>
      <c r="U2470" s="186"/>
    </row>
    <row r="2471" spans="2:21" x14ac:dyDescent="0.2">
      <c r="B2471" s="182"/>
      <c r="C2471" s="182"/>
      <c r="D2471" s="182"/>
      <c r="E2471" s="182"/>
      <c r="F2471" s="182"/>
      <c r="I2471" s="40"/>
      <c r="J2471" s="186"/>
      <c r="K2471" s="186"/>
      <c r="L2471" s="186"/>
      <c r="M2471" s="186"/>
      <c r="N2471" s="186"/>
      <c r="O2471" s="186"/>
      <c r="P2471" s="186"/>
      <c r="Q2471" s="182"/>
      <c r="R2471" s="182"/>
      <c r="S2471" s="182"/>
      <c r="T2471" s="186"/>
      <c r="U2471" s="186"/>
    </row>
    <row r="2472" spans="2:21" x14ac:dyDescent="0.2">
      <c r="B2472" s="182"/>
      <c r="C2472" s="182"/>
      <c r="D2472" s="182"/>
      <c r="E2472" s="182"/>
      <c r="F2472" s="182"/>
      <c r="I2472" s="40"/>
      <c r="J2472" s="186"/>
      <c r="K2472" s="186"/>
      <c r="L2472" s="186"/>
      <c r="M2472" s="186"/>
      <c r="N2472" s="186"/>
      <c r="O2472" s="186"/>
      <c r="P2472" s="186"/>
      <c r="Q2472" s="182"/>
      <c r="R2472" s="182"/>
      <c r="S2472" s="182"/>
      <c r="T2472" s="186"/>
      <c r="U2472" s="186"/>
    </row>
    <row r="2473" spans="2:21" x14ac:dyDescent="0.2">
      <c r="B2473" s="182"/>
      <c r="C2473" s="182"/>
      <c r="D2473" s="182"/>
      <c r="E2473" s="182"/>
      <c r="F2473" s="182"/>
      <c r="I2473" s="40"/>
      <c r="J2473" s="186"/>
      <c r="K2473" s="186"/>
      <c r="L2473" s="186"/>
      <c r="M2473" s="186"/>
      <c r="N2473" s="186"/>
      <c r="O2473" s="186"/>
      <c r="P2473" s="186"/>
      <c r="Q2473" s="182"/>
      <c r="R2473" s="182"/>
      <c r="S2473" s="182"/>
      <c r="T2473" s="186"/>
      <c r="U2473" s="186"/>
    </row>
    <row r="2474" spans="2:21" x14ac:dyDescent="0.2">
      <c r="B2474" s="182"/>
      <c r="C2474" s="182"/>
      <c r="D2474" s="182"/>
      <c r="E2474" s="182"/>
      <c r="F2474" s="182"/>
      <c r="I2474" s="40"/>
      <c r="J2474" s="186"/>
      <c r="K2474" s="186"/>
      <c r="L2474" s="186"/>
      <c r="M2474" s="186"/>
      <c r="N2474" s="186"/>
      <c r="O2474" s="186"/>
      <c r="P2474" s="186"/>
      <c r="Q2474" s="182"/>
      <c r="R2474" s="182"/>
      <c r="S2474" s="182"/>
      <c r="T2474" s="186"/>
      <c r="U2474" s="186"/>
    </row>
    <row r="2475" spans="2:21" x14ac:dyDescent="0.2">
      <c r="B2475" s="182"/>
      <c r="C2475" s="182"/>
      <c r="D2475" s="182"/>
      <c r="E2475" s="182"/>
      <c r="F2475" s="182"/>
      <c r="I2475" s="40"/>
      <c r="J2475" s="186"/>
      <c r="K2475" s="186"/>
      <c r="L2475" s="186"/>
      <c r="M2475" s="186"/>
      <c r="N2475" s="186"/>
      <c r="O2475" s="186"/>
      <c r="P2475" s="186"/>
      <c r="Q2475" s="182"/>
      <c r="R2475" s="182"/>
      <c r="S2475" s="182"/>
      <c r="T2475" s="186"/>
      <c r="U2475" s="186"/>
    </row>
    <row r="2476" spans="2:21" x14ac:dyDescent="0.2">
      <c r="B2476" s="182"/>
      <c r="C2476" s="182"/>
      <c r="D2476" s="182"/>
      <c r="E2476" s="182"/>
      <c r="F2476" s="182"/>
      <c r="I2476" s="40"/>
      <c r="J2476" s="186"/>
      <c r="K2476" s="186"/>
      <c r="L2476" s="186"/>
      <c r="M2476" s="186"/>
      <c r="N2476" s="186"/>
      <c r="O2476" s="186"/>
      <c r="P2476" s="186"/>
      <c r="Q2476" s="182"/>
      <c r="R2476" s="182"/>
      <c r="S2476" s="182"/>
      <c r="T2476" s="186"/>
      <c r="U2476" s="186"/>
    </row>
    <row r="2477" spans="2:21" x14ac:dyDescent="0.2">
      <c r="B2477" s="182"/>
      <c r="C2477" s="182"/>
      <c r="D2477" s="182"/>
      <c r="E2477" s="182"/>
      <c r="F2477" s="182"/>
      <c r="I2477" s="40"/>
      <c r="J2477" s="186"/>
      <c r="K2477" s="186"/>
      <c r="L2477" s="186"/>
      <c r="M2477" s="186"/>
      <c r="N2477" s="186"/>
      <c r="O2477" s="186"/>
      <c r="P2477" s="186"/>
      <c r="Q2477" s="182"/>
      <c r="R2477" s="182"/>
      <c r="S2477" s="182"/>
      <c r="T2477" s="186"/>
      <c r="U2477" s="186"/>
    </row>
    <row r="2478" spans="2:21" x14ac:dyDescent="0.2">
      <c r="B2478" s="182"/>
      <c r="C2478" s="182"/>
      <c r="D2478" s="182"/>
      <c r="E2478" s="182"/>
      <c r="F2478" s="182"/>
      <c r="I2478" s="40"/>
      <c r="J2478" s="186"/>
      <c r="K2478" s="186"/>
      <c r="L2478" s="186"/>
      <c r="M2478" s="186"/>
      <c r="N2478" s="186"/>
      <c r="O2478" s="186"/>
      <c r="P2478" s="186"/>
      <c r="Q2478" s="182"/>
      <c r="R2478" s="182"/>
      <c r="S2478" s="182"/>
      <c r="T2478" s="186"/>
      <c r="U2478" s="186"/>
    </row>
    <row r="2479" spans="2:21" x14ac:dyDescent="0.2">
      <c r="B2479" s="182"/>
      <c r="C2479" s="182"/>
      <c r="D2479" s="182"/>
      <c r="E2479" s="182"/>
      <c r="F2479" s="182"/>
      <c r="I2479" s="40"/>
      <c r="J2479" s="186"/>
      <c r="K2479" s="186"/>
      <c r="L2479" s="186"/>
      <c r="M2479" s="186"/>
      <c r="N2479" s="186"/>
      <c r="O2479" s="186"/>
      <c r="P2479" s="186"/>
      <c r="Q2479" s="182"/>
      <c r="R2479" s="182"/>
      <c r="S2479" s="182"/>
      <c r="T2479" s="186"/>
      <c r="U2479" s="186"/>
    </row>
    <row r="2480" spans="2:21" x14ac:dyDescent="0.2">
      <c r="B2480" s="182"/>
      <c r="C2480" s="182"/>
      <c r="D2480" s="182"/>
      <c r="E2480" s="182"/>
      <c r="F2480" s="182"/>
      <c r="I2480" s="40"/>
      <c r="J2480" s="186"/>
      <c r="K2480" s="186"/>
      <c r="L2480" s="186"/>
      <c r="M2480" s="186"/>
      <c r="N2480" s="186"/>
      <c r="O2480" s="186"/>
      <c r="P2480" s="186"/>
      <c r="Q2480" s="182"/>
      <c r="R2480" s="182"/>
      <c r="S2480" s="182"/>
      <c r="T2480" s="186"/>
      <c r="U2480" s="186"/>
    </row>
    <row r="2481" spans="2:21" x14ac:dyDescent="0.2">
      <c r="B2481" s="182"/>
      <c r="C2481" s="182"/>
      <c r="D2481" s="182"/>
      <c r="E2481" s="182"/>
      <c r="F2481" s="182"/>
      <c r="I2481" s="40"/>
      <c r="J2481" s="186"/>
      <c r="K2481" s="186"/>
      <c r="L2481" s="186"/>
      <c r="M2481" s="186"/>
      <c r="N2481" s="186"/>
      <c r="O2481" s="186"/>
      <c r="P2481" s="186"/>
      <c r="Q2481" s="182"/>
      <c r="R2481" s="182"/>
      <c r="S2481" s="182"/>
      <c r="T2481" s="186"/>
      <c r="U2481" s="186"/>
    </row>
    <row r="2482" spans="2:21" x14ac:dyDescent="0.2">
      <c r="B2482" s="182"/>
      <c r="C2482" s="182"/>
      <c r="D2482" s="182"/>
      <c r="E2482" s="182"/>
      <c r="F2482" s="182"/>
      <c r="I2482" s="40"/>
      <c r="J2482" s="186"/>
      <c r="K2482" s="186"/>
      <c r="L2482" s="186"/>
      <c r="M2482" s="186"/>
      <c r="N2482" s="186"/>
      <c r="O2482" s="186"/>
      <c r="P2482" s="186"/>
      <c r="Q2482" s="182"/>
      <c r="R2482" s="182"/>
      <c r="S2482" s="182"/>
      <c r="T2482" s="186"/>
      <c r="U2482" s="186"/>
    </row>
    <row r="2483" spans="2:21" x14ac:dyDescent="0.2">
      <c r="B2483" s="182"/>
      <c r="C2483" s="182"/>
      <c r="D2483" s="182"/>
      <c r="E2483" s="182"/>
      <c r="F2483" s="182"/>
      <c r="I2483" s="40"/>
      <c r="J2483" s="186"/>
      <c r="K2483" s="186"/>
      <c r="L2483" s="186"/>
      <c r="M2483" s="186"/>
      <c r="N2483" s="186"/>
      <c r="O2483" s="186"/>
      <c r="P2483" s="186"/>
      <c r="Q2483" s="182"/>
      <c r="R2483" s="182"/>
      <c r="S2483" s="182"/>
      <c r="T2483" s="186"/>
      <c r="U2483" s="186"/>
    </row>
    <row r="2484" spans="2:21" x14ac:dyDescent="0.2">
      <c r="B2484" s="182"/>
      <c r="C2484" s="182"/>
      <c r="D2484" s="182"/>
      <c r="E2484" s="182"/>
      <c r="F2484" s="182"/>
      <c r="I2484" s="40"/>
      <c r="J2484" s="186"/>
      <c r="K2484" s="186"/>
      <c r="L2484" s="186"/>
      <c r="M2484" s="186"/>
      <c r="N2484" s="186"/>
      <c r="O2484" s="186"/>
      <c r="P2484" s="186"/>
      <c r="Q2484" s="182"/>
      <c r="R2484" s="182"/>
      <c r="S2484" s="182"/>
      <c r="T2484" s="186"/>
      <c r="U2484" s="186"/>
    </row>
    <row r="2485" spans="2:21" x14ac:dyDescent="0.2">
      <c r="B2485" s="182"/>
      <c r="C2485" s="182"/>
      <c r="D2485" s="182"/>
      <c r="E2485" s="182"/>
      <c r="F2485" s="182"/>
      <c r="I2485" s="40"/>
      <c r="J2485" s="186"/>
      <c r="K2485" s="186"/>
      <c r="L2485" s="186"/>
      <c r="M2485" s="186"/>
      <c r="N2485" s="186"/>
      <c r="O2485" s="186"/>
      <c r="P2485" s="186"/>
      <c r="Q2485" s="182"/>
      <c r="R2485" s="182"/>
      <c r="S2485" s="182"/>
      <c r="T2485" s="186"/>
      <c r="U2485" s="186"/>
    </row>
    <row r="2486" spans="2:21" x14ac:dyDescent="0.2">
      <c r="B2486" s="182"/>
      <c r="C2486" s="182"/>
      <c r="D2486" s="182"/>
      <c r="E2486" s="182"/>
      <c r="F2486" s="182"/>
      <c r="I2486" s="40"/>
      <c r="J2486" s="186"/>
      <c r="K2486" s="186"/>
      <c r="L2486" s="186"/>
      <c r="M2486" s="186"/>
      <c r="N2486" s="186"/>
      <c r="O2486" s="186"/>
      <c r="P2486" s="186"/>
      <c r="Q2486" s="182"/>
      <c r="R2486" s="182"/>
      <c r="S2486" s="182"/>
      <c r="T2486" s="186"/>
      <c r="U2486" s="186"/>
    </row>
    <row r="2487" spans="2:21" x14ac:dyDescent="0.2">
      <c r="B2487" s="182"/>
      <c r="C2487" s="182"/>
      <c r="D2487" s="182"/>
      <c r="E2487" s="182"/>
      <c r="F2487" s="182"/>
      <c r="I2487" s="40"/>
      <c r="J2487" s="186"/>
      <c r="K2487" s="186"/>
      <c r="L2487" s="186"/>
      <c r="M2487" s="186"/>
      <c r="N2487" s="186"/>
      <c r="O2487" s="186"/>
      <c r="P2487" s="186"/>
      <c r="Q2487" s="182"/>
      <c r="R2487" s="182"/>
      <c r="S2487" s="182"/>
      <c r="T2487" s="186"/>
      <c r="U2487" s="186"/>
    </row>
    <row r="2488" spans="2:21" x14ac:dyDescent="0.2">
      <c r="B2488" s="182"/>
      <c r="C2488" s="182"/>
      <c r="D2488" s="182"/>
      <c r="E2488" s="182"/>
      <c r="F2488" s="182"/>
      <c r="I2488" s="40"/>
      <c r="J2488" s="186"/>
      <c r="K2488" s="186"/>
      <c r="L2488" s="186"/>
      <c r="M2488" s="186"/>
      <c r="N2488" s="186"/>
      <c r="O2488" s="186"/>
      <c r="P2488" s="186"/>
      <c r="Q2488" s="182"/>
      <c r="R2488" s="182"/>
      <c r="S2488" s="182"/>
      <c r="T2488" s="186"/>
      <c r="U2488" s="186"/>
    </row>
    <row r="2489" spans="2:21" x14ac:dyDescent="0.2">
      <c r="B2489" s="182"/>
      <c r="C2489" s="182"/>
      <c r="D2489" s="182"/>
      <c r="E2489" s="182"/>
      <c r="F2489" s="182"/>
      <c r="I2489" s="40"/>
      <c r="J2489" s="186"/>
      <c r="K2489" s="186"/>
      <c r="L2489" s="186"/>
      <c r="M2489" s="186"/>
      <c r="N2489" s="186"/>
      <c r="O2489" s="186"/>
      <c r="P2489" s="186"/>
      <c r="Q2489" s="182"/>
      <c r="R2489" s="182"/>
      <c r="S2489" s="182"/>
      <c r="T2489" s="186"/>
      <c r="U2489" s="186"/>
    </row>
    <row r="2490" spans="2:21" x14ac:dyDescent="0.2">
      <c r="B2490" s="182"/>
      <c r="C2490" s="182"/>
      <c r="D2490" s="182"/>
      <c r="E2490" s="182"/>
      <c r="F2490" s="182"/>
      <c r="I2490" s="40"/>
      <c r="J2490" s="186"/>
      <c r="K2490" s="186"/>
      <c r="L2490" s="186"/>
      <c r="M2490" s="186"/>
      <c r="N2490" s="186"/>
      <c r="O2490" s="186"/>
      <c r="P2490" s="186"/>
      <c r="Q2490" s="182"/>
      <c r="R2490" s="182"/>
      <c r="S2490" s="182"/>
      <c r="T2490" s="186"/>
      <c r="U2490" s="186"/>
    </row>
    <row r="2491" spans="2:21" x14ac:dyDescent="0.2">
      <c r="B2491" s="182"/>
      <c r="C2491" s="182"/>
      <c r="D2491" s="182"/>
      <c r="E2491" s="182"/>
      <c r="F2491" s="182"/>
      <c r="I2491" s="40"/>
      <c r="J2491" s="186"/>
      <c r="K2491" s="186"/>
      <c r="L2491" s="186"/>
      <c r="M2491" s="186"/>
      <c r="N2491" s="186"/>
      <c r="O2491" s="186"/>
      <c r="P2491" s="186"/>
      <c r="Q2491" s="182"/>
      <c r="R2491" s="182"/>
      <c r="S2491" s="182"/>
      <c r="T2491" s="186"/>
      <c r="U2491" s="186"/>
    </row>
    <row r="2492" spans="2:21" x14ac:dyDescent="0.2">
      <c r="B2492" s="182"/>
      <c r="C2492" s="182"/>
      <c r="D2492" s="182"/>
      <c r="E2492" s="182"/>
      <c r="F2492" s="182"/>
      <c r="I2492" s="40"/>
      <c r="J2492" s="186"/>
      <c r="K2492" s="186"/>
      <c r="L2492" s="186"/>
      <c r="M2492" s="186"/>
      <c r="N2492" s="186"/>
      <c r="O2492" s="186"/>
      <c r="P2492" s="186"/>
      <c r="Q2492" s="182"/>
      <c r="R2492" s="182"/>
      <c r="S2492" s="182"/>
      <c r="T2492" s="186"/>
      <c r="U2492" s="186"/>
    </row>
    <row r="2493" spans="2:21" x14ac:dyDescent="0.2">
      <c r="B2493" s="182"/>
      <c r="C2493" s="182"/>
      <c r="D2493" s="182"/>
      <c r="E2493" s="182"/>
      <c r="F2493" s="182"/>
      <c r="I2493" s="40"/>
      <c r="J2493" s="186"/>
      <c r="K2493" s="186"/>
      <c r="L2493" s="186"/>
      <c r="M2493" s="186"/>
      <c r="N2493" s="186"/>
      <c r="O2493" s="186"/>
      <c r="P2493" s="186"/>
      <c r="Q2493" s="182"/>
      <c r="R2493" s="182"/>
      <c r="S2493" s="182"/>
      <c r="T2493" s="186"/>
      <c r="U2493" s="186"/>
    </row>
    <row r="2494" spans="2:21" x14ac:dyDescent="0.2">
      <c r="B2494" s="182"/>
      <c r="C2494" s="182"/>
      <c r="D2494" s="182"/>
      <c r="E2494" s="182"/>
      <c r="F2494" s="182"/>
      <c r="I2494" s="40"/>
      <c r="J2494" s="186"/>
      <c r="K2494" s="186"/>
      <c r="L2494" s="186"/>
      <c r="M2494" s="186"/>
      <c r="N2494" s="186"/>
      <c r="O2494" s="186"/>
      <c r="P2494" s="186"/>
      <c r="Q2494" s="182"/>
      <c r="R2494" s="182"/>
      <c r="S2494" s="182"/>
      <c r="T2494" s="186"/>
      <c r="U2494" s="186"/>
    </row>
    <row r="2495" spans="2:21" x14ac:dyDescent="0.2">
      <c r="B2495" s="182"/>
      <c r="C2495" s="182"/>
      <c r="D2495" s="182"/>
      <c r="E2495" s="182"/>
      <c r="F2495" s="182"/>
      <c r="I2495" s="40"/>
      <c r="J2495" s="186"/>
      <c r="K2495" s="186"/>
      <c r="L2495" s="186"/>
      <c r="M2495" s="186"/>
      <c r="N2495" s="186"/>
      <c r="O2495" s="186"/>
      <c r="P2495" s="186"/>
      <c r="Q2495" s="182"/>
      <c r="R2495" s="182"/>
      <c r="S2495" s="182"/>
      <c r="T2495" s="186"/>
      <c r="U2495" s="186"/>
    </row>
    <row r="2496" spans="2:21" x14ac:dyDescent="0.2">
      <c r="B2496" s="182"/>
      <c r="C2496" s="182"/>
      <c r="D2496" s="182"/>
      <c r="E2496" s="182"/>
      <c r="F2496" s="182"/>
      <c r="I2496" s="40"/>
      <c r="J2496" s="186"/>
      <c r="K2496" s="186"/>
      <c r="L2496" s="186"/>
      <c r="M2496" s="186"/>
      <c r="N2496" s="186"/>
      <c r="O2496" s="186"/>
      <c r="P2496" s="186"/>
      <c r="Q2496" s="182"/>
      <c r="R2496" s="182"/>
      <c r="S2496" s="182"/>
      <c r="T2496" s="186"/>
      <c r="U2496" s="186"/>
    </row>
    <row r="2497" spans="2:21" x14ac:dyDescent="0.2">
      <c r="B2497" s="182"/>
      <c r="C2497" s="182"/>
      <c r="D2497" s="182"/>
      <c r="E2497" s="182"/>
      <c r="F2497" s="182"/>
      <c r="I2497" s="40"/>
      <c r="J2497" s="186"/>
      <c r="K2497" s="186"/>
      <c r="L2497" s="186"/>
      <c r="M2497" s="186"/>
      <c r="N2497" s="186"/>
      <c r="O2497" s="186"/>
      <c r="P2497" s="186"/>
      <c r="Q2497" s="182"/>
      <c r="R2497" s="182"/>
      <c r="S2497" s="182"/>
      <c r="T2497" s="186"/>
      <c r="U2497" s="186"/>
    </row>
    <row r="2498" spans="2:21" x14ac:dyDescent="0.2">
      <c r="B2498" s="182"/>
      <c r="C2498" s="182"/>
      <c r="D2498" s="182"/>
      <c r="E2498" s="182"/>
      <c r="F2498" s="182"/>
      <c r="I2498" s="40"/>
      <c r="J2498" s="186"/>
      <c r="K2498" s="186"/>
      <c r="L2498" s="186"/>
      <c r="M2498" s="186"/>
      <c r="N2498" s="186"/>
      <c r="O2498" s="186"/>
      <c r="P2498" s="186"/>
      <c r="Q2498" s="182"/>
      <c r="R2498" s="182"/>
      <c r="S2498" s="182"/>
      <c r="T2498" s="186"/>
      <c r="U2498" s="186"/>
    </row>
    <row r="2499" spans="2:21" x14ac:dyDescent="0.2">
      <c r="B2499" s="182"/>
      <c r="C2499" s="182"/>
      <c r="D2499" s="182"/>
      <c r="E2499" s="182"/>
      <c r="F2499" s="182"/>
      <c r="I2499" s="40"/>
      <c r="J2499" s="186"/>
      <c r="K2499" s="186"/>
      <c r="L2499" s="186"/>
      <c r="M2499" s="186"/>
      <c r="N2499" s="186"/>
      <c r="O2499" s="186"/>
      <c r="P2499" s="186"/>
      <c r="Q2499" s="182"/>
      <c r="R2499" s="182"/>
      <c r="S2499" s="182"/>
      <c r="T2499" s="186"/>
      <c r="U2499" s="186"/>
    </row>
    <row r="2500" spans="2:21" x14ac:dyDescent="0.2">
      <c r="B2500" s="182"/>
      <c r="C2500" s="182"/>
      <c r="D2500" s="182"/>
      <c r="E2500" s="182"/>
      <c r="F2500" s="182"/>
      <c r="I2500" s="40"/>
      <c r="J2500" s="186"/>
      <c r="K2500" s="186"/>
      <c r="L2500" s="186"/>
      <c r="M2500" s="186"/>
      <c r="N2500" s="186"/>
      <c r="O2500" s="186"/>
      <c r="P2500" s="186"/>
      <c r="Q2500" s="182"/>
      <c r="R2500" s="182"/>
      <c r="S2500" s="182"/>
      <c r="T2500" s="186"/>
      <c r="U2500" s="186"/>
    </row>
    <row r="2501" spans="2:21" x14ac:dyDescent="0.2">
      <c r="B2501" s="182"/>
      <c r="C2501" s="182"/>
      <c r="D2501" s="182"/>
      <c r="E2501" s="182"/>
      <c r="F2501" s="182"/>
      <c r="I2501" s="40"/>
      <c r="J2501" s="186"/>
      <c r="K2501" s="186"/>
      <c r="L2501" s="186"/>
      <c r="M2501" s="186"/>
      <c r="N2501" s="186"/>
      <c r="O2501" s="186"/>
      <c r="P2501" s="186"/>
      <c r="Q2501" s="182"/>
      <c r="R2501" s="182"/>
      <c r="S2501" s="182"/>
      <c r="T2501" s="186"/>
      <c r="U2501" s="186"/>
    </row>
    <row r="2502" spans="2:21" x14ac:dyDescent="0.2">
      <c r="B2502" s="182"/>
      <c r="C2502" s="182"/>
      <c r="D2502" s="182"/>
      <c r="E2502" s="182"/>
      <c r="F2502" s="182"/>
      <c r="I2502" s="40"/>
      <c r="J2502" s="186"/>
      <c r="K2502" s="186"/>
      <c r="L2502" s="186"/>
      <c r="M2502" s="186"/>
      <c r="N2502" s="186"/>
      <c r="O2502" s="186"/>
      <c r="P2502" s="186"/>
      <c r="Q2502" s="182"/>
      <c r="R2502" s="182"/>
      <c r="S2502" s="182"/>
      <c r="T2502" s="186"/>
      <c r="U2502" s="186"/>
    </row>
    <row r="2503" spans="2:21" x14ac:dyDescent="0.2">
      <c r="B2503" s="182"/>
      <c r="C2503" s="182"/>
      <c r="D2503" s="182"/>
      <c r="E2503" s="182"/>
      <c r="F2503" s="182"/>
      <c r="I2503" s="40"/>
      <c r="J2503" s="186"/>
      <c r="K2503" s="186"/>
      <c r="L2503" s="186"/>
      <c r="M2503" s="186"/>
      <c r="N2503" s="186"/>
      <c r="O2503" s="186"/>
      <c r="P2503" s="186"/>
      <c r="Q2503" s="182"/>
      <c r="R2503" s="182"/>
      <c r="S2503" s="182"/>
      <c r="T2503" s="186"/>
      <c r="U2503" s="186"/>
    </row>
    <row r="2504" spans="2:21" x14ac:dyDescent="0.2">
      <c r="B2504" s="182"/>
      <c r="C2504" s="182"/>
      <c r="D2504" s="182"/>
      <c r="E2504" s="182"/>
      <c r="F2504" s="182"/>
      <c r="I2504" s="40"/>
      <c r="J2504" s="186"/>
      <c r="K2504" s="186"/>
      <c r="L2504" s="186"/>
      <c r="M2504" s="186"/>
      <c r="N2504" s="186"/>
      <c r="O2504" s="186"/>
      <c r="P2504" s="186"/>
      <c r="Q2504" s="182"/>
      <c r="R2504" s="182"/>
      <c r="S2504" s="182"/>
      <c r="T2504" s="186"/>
      <c r="U2504" s="186"/>
    </row>
    <row r="2505" spans="2:21" x14ac:dyDescent="0.2">
      <c r="B2505" s="182"/>
      <c r="C2505" s="182"/>
      <c r="D2505" s="182"/>
      <c r="E2505" s="182"/>
      <c r="F2505" s="182"/>
      <c r="I2505" s="40"/>
      <c r="J2505" s="186"/>
      <c r="K2505" s="186"/>
      <c r="L2505" s="186"/>
      <c r="M2505" s="186"/>
      <c r="N2505" s="186"/>
      <c r="O2505" s="186"/>
      <c r="P2505" s="186"/>
      <c r="Q2505" s="182"/>
      <c r="R2505" s="182"/>
      <c r="S2505" s="182"/>
      <c r="T2505" s="186"/>
      <c r="U2505" s="186"/>
    </row>
    <row r="2506" spans="2:21" x14ac:dyDescent="0.2">
      <c r="B2506" s="182"/>
      <c r="C2506" s="182"/>
      <c r="D2506" s="182"/>
      <c r="E2506" s="182"/>
      <c r="F2506" s="182"/>
      <c r="I2506" s="40"/>
      <c r="J2506" s="186"/>
      <c r="K2506" s="186"/>
      <c r="L2506" s="186"/>
      <c r="M2506" s="186"/>
      <c r="N2506" s="186"/>
      <c r="O2506" s="186"/>
      <c r="P2506" s="186"/>
      <c r="Q2506" s="182"/>
      <c r="R2506" s="182"/>
      <c r="S2506" s="182"/>
      <c r="T2506" s="186"/>
      <c r="U2506" s="186"/>
    </row>
    <row r="2507" spans="2:21" x14ac:dyDescent="0.2">
      <c r="B2507" s="182"/>
      <c r="C2507" s="182"/>
      <c r="D2507" s="182"/>
      <c r="E2507" s="182"/>
      <c r="F2507" s="182"/>
      <c r="I2507" s="40"/>
      <c r="J2507" s="186"/>
      <c r="K2507" s="186"/>
      <c r="L2507" s="186"/>
      <c r="M2507" s="186"/>
      <c r="N2507" s="186"/>
      <c r="O2507" s="186"/>
      <c r="P2507" s="186"/>
      <c r="Q2507" s="182"/>
      <c r="R2507" s="182"/>
      <c r="S2507" s="182"/>
      <c r="T2507" s="186"/>
      <c r="U2507" s="186"/>
    </row>
    <row r="2508" spans="2:21" x14ac:dyDescent="0.2">
      <c r="B2508" s="182"/>
      <c r="C2508" s="182"/>
      <c r="D2508" s="182"/>
      <c r="E2508" s="182"/>
      <c r="F2508" s="182"/>
      <c r="I2508" s="40"/>
      <c r="J2508" s="186"/>
      <c r="K2508" s="186"/>
      <c r="L2508" s="186"/>
      <c r="M2508" s="186"/>
      <c r="N2508" s="186"/>
      <c r="O2508" s="186"/>
      <c r="P2508" s="186"/>
      <c r="Q2508" s="182"/>
      <c r="R2508" s="182"/>
      <c r="S2508" s="182"/>
      <c r="T2508" s="186"/>
      <c r="U2508" s="186"/>
    </row>
    <row r="2509" spans="2:21" x14ac:dyDescent="0.2">
      <c r="B2509" s="182"/>
      <c r="C2509" s="182"/>
      <c r="D2509" s="182"/>
      <c r="E2509" s="182"/>
      <c r="F2509" s="182"/>
      <c r="I2509" s="40"/>
      <c r="J2509" s="186"/>
      <c r="K2509" s="186"/>
      <c r="L2509" s="186"/>
      <c r="M2509" s="186"/>
      <c r="N2509" s="186"/>
      <c r="O2509" s="186"/>
      <c r="P2509" s="186"/>
      <c r="Q2509" s="182"/>
      <c r="R2509" s="182"/>
      <c r="S2509" s="182"/>
      <c r="T2509" s="186"/>
      <c r="U2509" s="186"/>
    </row>
    <row r="2510" spans="2:21" x14ac:dyDescent="0.2">
      <c r="B2510" s="182"/>
      <c r="C2510" s="182"/>
      <c r="D2510" s="182"/>
      <c r="E2510" s="182"/>
      <c r="F2510" s="182"/>
      <c r="I2510" s="40"/>
      <c r="J2510" s="186"/>
      <c r="K2510" s="186"/>
      <c r="L2510" s="186"/>
      <c r="M2510" s="186"/>
      <c r="N2510" s="186"/>
      <c r="O2510" s="186"/>
      <c r="P2510" s="186"/>
      <c r="Q2510" s="182"/>
      <c r="R2510" s="182"/>
      <c r="S2510" s="182"/>
      <c r="T2510" s="186"/>
      <c r="U2510" s="186"/>
    </row>
    <row r="2511" spans="2:21" x14ac:dyDescent="0.2">
      <c r="B2511" s="182"/>
      <c r="C2511" s="182"/>
      <c r="D2511" s="182"/>
      <c r="E2511" s="182"/>
      <c r="F2511" s="182"/>
      <c r="I2511" s="40"/>
      <c r="J2511" s="186"/>
      <c r="K2511" s="186"/>
      <c r="L2511" s="186"/>
      <c r="M2511" s="186"/>
      <c r="N2511" s="186"/>
      <c r="O2511" s="186"/>
      <c r="P2511" s="186"/>
      <c r="Q2511" s="182"/>
      <c r="R2511" s="182"/>
      <c r="S2511" s="182"/>
      <c r="T2511" s="186"/>
      <c r="U2511" s="186"/>
    </row>
    <row r="2512" spans="2:21" x14ac:dyDescent="0.2">
      <c r="B2512" s="182"/>
      <c r="C2512" s="182"/>
      <c r="D2512" s="182"/>
      <c r="E2512" s="182"/>
      <c r="F2512" s="182"/>
      <c r="I2512" s="40"/>
      <c r="J2512" s="186"/>
      <c r="K2512" s="186"/>
      <c r="L2512" s="186"/>
      <c r="M2512" s="186"/>
      <c r="N2512" s="186"/>
      <c r="O2512" s="186"/>
      <c r="P2512" s="186"/>
      <c r="Q2512" s="182"/>
      <c r="R2512" s="182"/>
      <c r="S2512" s="182"/>
      <c r="T2512" s="186"/>
      <c r="U2512" s="186"/>
    </row>
    <row r="2513" spans="2:21" x14ac:dyDescent="0.2">
      <c r="B2513" s="182"/>
      <c r="C2513" s="182"/>
      <c r="D2513" s="182"/>
      <c r="E2513" s="182"/>
      <c r="F2513" s="182"/>
      <c r="I2513" s="40"/>
      <c r="J2513" s="186"/>
      <c r="K2513" s="186"/>
      <c r="L2513" s="186"/>
      <c r="M2513" s="186"/>
      <c r="N2513" s="186"/>
      <c r="O2513" s="186"/>
      <c r="P2513" s="186"/>
      <c r="Q2513" s="182"/>
      <c r="R2513" s="182"/>
      <c r="S2513" s="182"/>
      <c r="T2513" s="186"/>
      <c r="U2513" s="186"/>
    </row>
    <row r="2514" spans="2:21" x14ac:dyDescent="0.2">
      <c r="B2514" s="182"/>
      <c r="C2514" s="182"/>
      <c r="D2514" s="182"/>
      <c r="E2514" s="182"/>
      <c r="F2514" s="182"/>
      <c r="I2514" s="40"/>
      <c r="J2514" s="186"/>
      <c r="K2514" s="186"/>
      <c r="L2514" s="186"/>
      <c r="M2514" s="186"/>
      <c r="N2514" s="186"/>
      <c r="O2514" s="186"/>
      <c r="P2514" s="186"/>
      <c r="Q2514" s="182"/>
      <c r="R2514" s="182"/>
      <c r="S2514" s="182"/>
      <c r="T2514" s="186"/>
      <c r="U2514" s="186"/>
    </row>
    <row r="2515" spans="2:21" x14ac:dyDescent="0.2">
      <c r="B2515" s="182"/>
      <c r="C2515" s="182"/>
      <c r="D2515" s="182"/>
      <c r="E2515" s="182"/>
      <c r="F2515" s="182"/>
      <c r="I2515" s="40"/>
      <c r="J2515" s="186"/>
      <c r="K2515" s="186"/>
      <c r="L2515" s="186"/>
      <c r="M2515" s="186"/>
      <c r="N2515" s="186"/>
      <c r="O2515" s="186"/>
      <c r="P2515" s="186"/>
      <c r="Q2515" s="182"/>
      <c r="R2515" s="182"/>
      <c r="S2515" s="182"/>
      <c r="T2515" s="186"/>
      <c r="U2515" s="186"/>
    </row>
    <row r="2516" spans="2:21" x14ac:dyDescent="0.2">
      <c r="B2516" s="182"/>
      <c r="C2516" s="182"/>
      <c r="D2516" s="182"/>
      <c r="E2516" s="182"/>
      <c r="F2516" s="182"/>
      <c r="I2516" s="40"/>
      <c r="J2516" s="186"/>
      <c r="K2516" s="186"/>
      <c r="L2516" s="186"/>
      <c r="M2516" s="186"/>
      <c r="N2516" s="186"/>
      <c r="O2516" s="186"/>
      <c r="P2516" s="186"/>
      <c r="Q2516" s="182"/>
      <c r="R2516" s="182"/>
      <c r="S2516" s="182"/>
      <c r="T2516" s="186"/>
      <c r="U2516" s="186"/>
    </row>
    <row r="2517" spans="2:21" x14ac:dyDescent="0.2">
      <c r="B2517" s="182"/>
      <c r="C2517" s="182"/>
      <c r="D2517" s="182"/>
      <c r="E2517" s="182"/>
      <c r="F2517" s="182"/>
      <c r="I2517" s="40"/>
      <c r="J2517" s="186"/>
      <c r="K2517" s="186"/>
      <c r="L2517" s="186"/>
      <c r="M2517" s="186"/>
      <c r="N2517" s="186"/>
      <c r="O2517" s="186"/>
      <c r="P2517" s="186"/>
      <c r="Q2517" s="182"/>
      <c r="R2517" s="182"/>
      <c r="S2517" s="182"/>
      <c r="T2517" s="186"/>
      <c r="U2517" s="186"/>
    </row>
    <row r="2518" spans="2:21" x14ac:dyDescent="0.2">
      <c r="B2518" s="182"/>
      <c r="C2518" s="182"/>
      <c r="D2518" s="182"/>
      <c r="E2518" s="182"/>
      <c r="F2518" s="182"/>
      <c r="I2518" s="40"/>
      <c r="J2518" s="186"/>
      <c r="K2518" s="186"/>
      <c r="L2518" s="186"/>
      <c r="M2518" s="186"/>
      <c r="N2518" s="186"/>
      <c r="O2518" s="186"/>
      <c r="P2518" s="186"/>
      <c r="Q2518" s="182"/>
      <c r="R2518" s="182"/>
      <c r="S2518" s="182"/>
      <c r="T2518" s="186"/>
      <c r="U2518" s="186"/>
    </row>
    <row r="2519" spans="2:21" x14ac:dyDescent="0.2">
      <c r="B2519" s="182"/>
      <c r="C2519" s="182"/>
      <c r="D2519" s="182"/>
      <c r="E2519" s="182"/>
      <c r="F2519" s="182"/>
      <c r="I2519" s="40"/>
      <c r="J2519" s="186"/>
      <c r="K2519" s="186"/>
      <c r="L2519" s="186"/>
      <c r="M2519" s="186"/>
      <c r="N2519" s="186"/>
      <c r="O2519" s="186"/>
      <c r="P2519" s="186"/>
      <c r="Q2519" s="182"/>
      <c r="R2519" s="182"/>
      <c r="S2519" s="182"/>
      <c r="T2519" s="186"/>
      <c r="U2519" s="186"/>
    </row>
    <row r="2520" spans="2:21" x14ac:dyDescent="0.2">
      <c r="B2520" s="182"/>
      <c r="C2520" s="182"/>
      <c r="D2520" s="182"/>
      <c r="E2520" s="182"/>
      <c r="F2520" s="182"/>
      <c r="I2520" s="40"/>
      <c r="J2520" s="186"/>
      <c r="K2520" s="186"/>
      <c r="L2520" s="186"/>
      <c r="M2520" s="186"/>
      <c r="N2520" s="186"/>
      <c r="O2520" s="186"/>
      <c r="P2520" s="186"/>
      <c r="Q2520" s="182"/>
      <c r="R2520" s="182"/>
      <c r="S2520" s="182"/>
      <c r="T2520" s="186"/>
      <c r="U2520" s="186"/>
    </row>
    <row r="2521" spans="2:21" x14ac:dyDescent="0.2">
      <c r="B2521" s="182"/>
      <c r="C2521" s="182"/>
      <c r="D2521" s="182"/>
      <c r="E2521" s="182"/>
      <c r="F2521" s="182"/>
      <c r="I2521" s="40"/>
      <c r="J2521" s="186"/>
      <c r="K2521" s="186"/>
      <c r="L2521" s="186"/>
      <c r="M2521" s="186"/>
      <c r="N2521" s="186"/>
      <c r="O2521" s="186"/>
      <c r="P2521" s="186"/>
      <c r="Q2521" s="182"/>
      <c r="R2521" s="182"/>
      <c r="S2521" s="182"/>
      <c r="T2521" s="186"/>
      <c r="U2521" s="186"/>
    </row>
    <row r="2522" spans="2:21" x14ac:dyDescent="0.2">
      <c r="B2522" s="182"/>
      <c r="C2522" s="182"/>
      <c r="D2522" s="182"/>
      <c r="E2522" s="182"/>
      <c r="F2522" s="182"/>
      <c r="I2522" s="40"/>
      <c r="J2522" s="186"/>
      <c r="K2522" s="186"/>
      <c r="L2522" s="186"/>
      <c r="M2522" s="186"/>
      <c r="N2522" s="186"/>
      <c r="O2522" s="186"/>
      <c r="P2522" s="186"/>
      <c r="Q2522" s="182"/>
      <c r="R2522" s="182"/>
      <c r="S2522" s="182"/>
      <c r="T2522" s="186"/>
      <c r="U2522" s="186"/>
    </row>
    <row r="2523" spans="2:21" x14ac:dyDescent="0.2">
      <c r="B2523" s="182"/>
      <c r="C2523" s="182"/>
      <c r="D2523" s="182"/>
      <c r="E2523" s="182"/>
      <c r="F2523" s="182"/>
      <c r="I2523" s="40"/>
      <c r="J2523" s="186"/>
      <c r="K2523" s="186"/>
      <c r="L2523" s="186"/>
      <c r="M2523" s="186"/>
      <c r="N2523" s="186"/>
      <c r="O2523" s="186"/>
      <c r="P2523" s="186"/>
      <c r="Q2523" s="182"/>
      <c r="R2523" s="182"/>
      <c r="S2523" s="182"/>
      <c r="T2523" s="186"/>
      <c r="U2523" s="186"/>
    </row>
    <row r="2524" spans="2:21" x14ac:dyDescent="0.2">
      <c r="B2524" s="182"/>
      <c r="C2524" s="182"/>
      <c r="D2524" s="182"/>
      <c r="E2524" s="182"/>
      <c r="F2524" s="182"/>
      <c r="I2524" s="40"/>
      <c r="J2524" s="186"/>
      <c r="K2524" s="186"/>
      <c r="L2524" s="186"/>
      <c r="M2524" s="186"/>
      <c r="N2524" s="186"/>
      <c r="O2524" s="186"/>
      <c r="P2524" s="186"/>
      <c r="Q2524" s="182"/>
      <c r="R2524" s="182"/>
      <c r="S2524" s="182"/>
      <c r="T2524" s="186"/>
      <c r="U2524" s="186"/>
    </row>
    <row r="2525" spans="2:21" x14ac:dyDescent="0.2">
      <c r="B2525" s="182"/>
      <c r="C2525" s="182"/>
      <c r="D2525" s="182"/>
      <c r="E2525" s="182"/>
      <c r="F2525" s="182"/>
      <c r="I2525" s="40"/>
      <c r="J2525" s="186"/>
      <c r="K2525" s="186"/>
      <c r="L2525" s="186"/>
      <c r="M2525" s="186"/>
      <c r="N2525" s="186"/>
      <c r="O2525" s="186"/>
      <c r="P2525" s="186"/>
      <c r="Q2525" s="182"/>
      <c r="R2525" s="182"/>
      <c r="S2525" s="182"/>
      <c r="T2525" s="186"/>
      <c r="U2525" s="186"/>
    </row>
    <row r="2526" spans="2:21" x14ac:dyDescent="0.2">
      <c r="B2526" s="182"/>
      <c r="C2526" s="182"/>
      <c r="D2526" s="182"/>
      <c r="E2526" s="182"/>
      <c r="F2526" s="182"/>
      <c r="I2526" s="40"/>
      <c r="J2526" s="186"/>
      <c r="K2526" s="186"/>
      <c r="L2526" s="186"/>
      <c r="M2526" s="186"/>
      <c r="N2526" s="186"/>
      <c r="O2526" s="186"/>
      <c r="P2526" s="186"/>
      <c r="Q2526" s="182"/>
      <c r="R2526" s="182"/>
      <c r="S2526" s="182"/>
      <c r="T2526" s="186"/>
      <c r="U2526" s="186"/>
    </row>
    <row r="2527" spans="2:21" x14ac:dyDescent="0.2">
      <c r="B2527" s="182"/>
      <c r="C2527" s="182"/>
      <c r="D2527" s="182"/>
      <c r="E2527" s="182"/>
      <c r="F2527" s="182"/>
      <c r="I2527" s="40"/>
      <c r="J2527" s="186"/>
      <c r="K2527" s="186"/>
      <c r="L2527" s="186"/>
      <c r="M2527" s="186"/>
      <c r="N2527" s="186"/>
      <c r="O2527" s="186"/>
      <c r="P2527" s="186"/>
      <c r="Q2527" s="182"/>
      <c r="R2527" s="182"/>
      <c r="S2527" s="182"/>
      <c r="T2527" s="186"/>
      <c r="U2527" s="186"/>
    </row>
    <row r="2528" spans="2:21" x14ac:dyDescent="0.2">
      <c r="B2528" s="182"/>
      <c r="C2528" s="182"/>
      <c r="D2528" s="182"/>
      <c r="E2528" s="182"/>
      <c r="F2528" s="182"/>
      <c r="I2528" s="40"/>
      <c r="J2528" s="186"/>
      <c r="K2528" s="186"/>
      <c r="L2528" s="186"/>
      <c r="M2528" s="186"/>
      <c r="N2528" s="186"/>
      <c r="O2528" s="186"/>
      <c r="P2528" s="186"/>
      <c r="Q2528" s="182"/>
      <c r="R2528" s="182"/>
      <c r="S2528" s="182"/>
      <c r="T2528" s="186"/>
      <c r="U2528" s="186"/>
    </row>
    <row r="2529" spans="2:21" x14ac:dyDescent="0.2">
      <c r="B2529" s="182"/>
      <c r="C2529" s="182"/>
      <c r="D2529" s="182"/>
      <c r="E2529" s="182"/>
      <c r="F2529" s="182"/>
      <c r="I2529" s="40"/>
      <c r="J2529" s="186"/>
      <c r="K2529" s="186"/>
      <c r="L2529" s="186"/>
      <c r="M2529" s="186"/>
      <c r="N2529" s="186"/>
      <c r="O2529" s="186"/>
      <c r="P2529" s="186"/>
      <c r="Q2529" s="182"/>
      <c r="R2529" s="182"/>
      <c r="S2529" s="182"/>
      <c r="T2529" s="186"/>
      <c r="U2529" s="186"/>
    </row>
    <row r="2530" spans="2:21" x14ac:dyDescent="0.2">
      <c r="B2530" s="182"/>
      <c r="C2530" s="182"/>
      <c r="D2530" s="182"/>
      <c r="E2530" s="182"/>
      <c r="F2530" s="182"/>
      <c r="I2530" s="40"/>
      <c r="J2530" s="186"/>
      <c r="K2530" s="186"/>
      <c r="L2530" s="186"/>
      <c r="M2530" s="186"/>
      <c r="N2530" s="186"/>
      <c r="O2530" s="186"/>
      <c r="P2530" s="186"/>
      <c r="Q2530" s="182"/>
      <c r="R2530" s="182"/>
      <c r="S2530" s="182"/>
      <c r="T2530" s="186"/>
      <c r="U2530" s="186"/>
    </row>
    <row r="2531" spans="2:21" x14ac:dyDescent="0.2">
      <c r="B2531" s="182"/>
      <c r="C2531" s="182"/>
      <c r="D2531" s="182"/>
      <c r="E2531" s="182"/>
      <c r="F2531" s="182"/>
      <c r="I2531" s="40"/>
      <c r="J2531" s="186"/>
      <c r="K2531" s="186"/>
      <c r="L2531" s="186"/>
      <c r="M2531" s="186"/>
      <c r="N2531" s="186"/>
      <c r="O2531" s="186"/>
      <c r="P2531" s="186"/>
      <c r="Q2531" s="182"/>
      <c r="R2531" s="182"/>
      <c r="S2531" s="182"/>
      <c r="T2531" s="186"/>
      <c r="U2531" s="186"/>
    </row>
    <row r="2532" spans="2:21" x14ac:dyDescent="0.2">
      <c r="B2532" s="182"/>
      <c r="C2532" s="182"/>
      <c r="D2532" s="182"/>
      <c r="E2532" s="182"/>
      <c r="F2532" s="182"/>
      <c r="I2532" s="40"/>
      <c r="J2532" s="186"/>
      <c r="K2532" s="186"/>
      <c r="L2532" s="186"/>
      <c r="M2532" s="186"/>
      <c r="N2532" s="186"/>
      <c r="O2532" s="186"/>
      <c r="P2532" s="186"/>
      <c r="Q2532" s="182"/>
      <c r="R2532" s="182"/>
      <c r="S2532" s="182"/>
      <c r="T2532" s="186"/>
      <c r="U2532" s="186"/>
    </row>
    <row r="2533" spans="2:21" x14ac:dyDescent="0.2">
      <c r="B2533" s="182"/>
      <c r="C2533" s="182"/>
      <c r="D2533" s="182"/>
      <c r="E2533" s="182"/>
      <c r="F2533" s="182"/>
      <c r="I2533" s="40"/>
      <c r="J2533" s="186"/>
      <c r="K2533" s="186"/>
      <c r="L2533" s="186"/>
      <c r="M2533" s="186"/>
      <c r="N2533" s="186"/>
      <c r="O2533" s="186"/>
      <c r="P2533" s="186"/>
      <c r="Q2533" s="182"/>
      <c r="R2533" s="182"/>
      <c r="S2533" s="182"/>
      <c r="T2533" s="186"/>
      <c r="U2533" s="186"/>
    </row>
    <row r="2534" spans="2:21" x14ac:dyDescent="0.2">
      <c r="B2534" s="182"/>
      <c r="C2534" s="182"/>
      <c r="D2534" s="182"/>
      <c r="E2534" s="182"/>
      <c r="F2534" s="182"/>
      <c r="I2534" s="40"/>
      <c r="J2534" s="186"/>
      <c r="K2534" s="186"/>
      <c r="L2534" s="186"/>
      <c r="M2534" s="186"/>
      <c r="N2534" s="186"/>
      <c r="O2534" s="186"/>
      <c r="P2534" s="186"/>
      <c r="Q2534" s="182"/>
      <c r="R2534" s="182"/>
      <c r="S2534" s="182"/>
      <c r="T2534" s="186"/>
      <c r="U2534" s="186"/>
    </row>
    <row r="2535" spans="2:21" x14ac:dyDescent="0.2">
      <c r="B2535" s="182"/>
      <c r="C2535" s="182"/>
      <c r="D2535" s="182"/>
      <c r="E2535" s="182"/>
      <c r="F2535" s="182"/>
      <c r="I2535" s="40"/>
      <c r="J2535" s="186"/>
      <c r="K2535" s="186"/>
      <c r="L2535" s="186"/>
      <c r="M2535" s="186"/>
      <c r="N2535" s="186"/>
      <c r="O2535" s="186"/>
      <c r="P2535" s="186"/>
      <c r="Q2535" s="182"/>
      <c r="R2535" s="182"/>
      <c r="S2535" s="182"/>
      <c r="T2535" s="186"/>
      <c r="U2535" s="186"/>
    </row>
    <row r="2536" spans="2:21" x14ac:dyDescent="0.2">
      <c r="B2536" s="182"/>
      <c r="C2536" s="182"/>
      <c r="D2536" s="182"/>
      <c r="E2536" s="182"/>
      <c r="F2536" s="182"/>
      <c r="I2536" s="40"/>
      <c r="J2536" s="186"/>
      <c r="K2536" s="186"/>
      <c r="L2536" s="186"/>
      <c r="M2536" s="186"/>
      <c r="N2536" s="186"/>
      <c r="O2536" s="186"/>
      <c r="P2536" s="186"/>
      <c r="Q2536" s="182"/>
      <c r="R2536" s="182"/>
      <c r="S2536" s="182"/>
      <c r="T2536" s="186"/>
      <c r="U2536" s="186"/>
    </row>
    <row r="2537" spans="2:21" x14ac:dyDescent="0.2">
      <c r="B2537" s="182"/>
      <c r="C2537" s="182"/>
      <c r="D2537" s="182"/>
      <c r="E2537" s="182"/>
      <c r="F2537" s="182"/>
      <c r="I2537" s="40"/>
      <c r="J2537" s="186"/>
      <c r="K2537" s="186"/>
      <c r="L2537" s="186"/>
      <c r="M2537" s="186"/>
      <c r="N2537" s="186"/>
      <c r="O2537" s="186"/>
      <c r="P2537" s="186"/>
      <c r="Q2537" s="182"/>
      <c r="R2537" s="182"/>
      <c r="S2537" s="182"/>
      <c r="T2537" s="186"/>
      <c r="U2537" s="186"/>
    </row>
    <row r="2538" spans="2:21" x14ac:dyDescent="0.2">
      <c r="B2538" s="182"/>
      <c r="C2538" s="182"/>
      <c r="D2538" s="182"/>
      <c r="E2538" s="182"/>
      <c r="F2538" s="182"/>
      <c r="I2538" s="40"/>
      <c r="J2538" s="186"/>
      <c r="K2538" s="186"/>
      <c r="L2538" s="186"/>
      <c r="M2538" s="186"/>
      <c r="N2538" s="186"/>
      <c r="O2538" s="186"/>
      <c r="P2538" s="186"/>
      <c r="Q2538" s="182"/>
      <c r="R2538" s="182"/>
      <c r="S2538" s="182"/>
      <c r="T2538" s="186"/>
      <c r="U2538" s="186"/>
    </row>
    <row r="2539" spans="2:21" x14ac:dyDescent="0.2">
      <c r="B2539" s="182"/>
      <c r="C2539" s="182"/>
      <c r="D2539" s="182"/>
      <c r="E2539" s="182"/>
      <c r="F2539" s="182"/>
      <c r="I2539" s="40"/>
      <c r="J2539" s="186"/>
      <c r="K2539" s="186"/>
      <c r="L2539" s="186"/>
      <c r="M2539" s="186"/>
      <c r="N2539" s="186"/>
      <c r="O2539" s="186"/>
      <c r="P2539" s="186"/>
      <c r="Q2539" s="182"/>
      <c r="R2539" s="182"/>
      <c r="S2539" s="182"/>
      <c r="T2539" s="186"/>
      <c r="U2539" s="186"/>
    </row>
    <row r="2540" spans="2:21" x14ac:dyDescent="0.2">
      <c r="B2540" s="182"/>
      <c r="C2540" s="182"/>
      <c r="D2540" s="182"/>
      <c r="E2540" s="182"/>
      <c r="F2540" s="182"/>
      <c r="I2540" s="40"/>
      <c r="J2540" s="186"/>
      <c r="K2540" s="186"/>
      <c r="L2540" s="186"/>
      <c r="M2540" s="186"/>
      <c r="N2540" s="186"/>
      <c r="O2540" s="186"/>
      <c r="P2540" s="186"/>
      <c r="Q2540" s="182"/>
      <c r="R2540" s="182"/>
      <c r="S2540" s="182"/>
      <c r="T2540" s="186"/>
      <c r="U2540" s="186"/>
    </row>
    <row r="2541" spans="2:21" x14ac:dyDescent="0.2">
      <c r="B2541" s="182"/>
      <c r="C2541" s="182"/>
      <c r="D2541" s="182"/>
      <c r="E2541" s="182"/>
      <c r="F2541" s="182"/>
      <c r="I2541" s="40"/>
      <c r="J2541" s="186"/>
      <c r="K2541" s="186"/>
      <c r="L2541" s="186"/>
      <c r="M2541" s="186"/>
      <c r="N2541" s="186"/>
      <c r="O2541" s="186"/>
      <c r="P2541" s="186"/>
      <c r="Q2541" s="182"/>
      <c r="R2541" s="182"/>
      <c r="S2541" s="182"/>
      <c r="T2541" s="186"/>
      <c r="U2541" s="186"/>
    </row>
    <row r="2542" spans="2:21" x14ac:dyDescent="0.2">
      <c r="B2542" s="182"/>
      <c r="C2542" s="182"/>
      <c r="D2542" s="182"/>
      <c r="E2542" s="182"/>
      <c r="F2542" s="182"/>
      <c r="I2542" s="40"/>
      <c r="J2542" s="186"/>
      <c r="K2542" s="186"/>
      <c r="L2542" s="186"/>
      <c r="M2542" s="186"/>
      <c r="N2542" s="186"/>
      <c r="O2542" s="186"/>
      <c r="P2542" s="186"/>
      <c r="Q2542" s="182"/>
      <c r="R2542" s="182"/>
      <c r="S2542" s="182"/>
      <c r="T2542" s="186"/>
      <c r="U2542" s="186"/>
    </row>
    <row r="2543" spans="2:21" x14ac:dyDescent="0.2">
      <c r="B2543" s="182"/>
      <c r="C2543" s="182"/>
      <c r="D2543" s="182"/>
      <c r="E2543" s="182"/>
      <c r="F2543" s="182"/>
      <c r="I2543" s="40"/>
      <c r="J2543" s="186"/>
      <c r="K2543" s="186"/>
      <c r="L2543" s="186"/>
      <c r="M2543" s="186"/>
      <c r="N2543" s="186"/>
      <c r="O2543" s="186"/>
      <c r="P2543" s="186"/>
      <c r="Q2543" s="182"/>
      <c r="R2543" s="182"/>
      <c r="S2543" s="182"/>
      <c r="T2543" s="186"/>
      <c r="U2543" s="186"/>
    </row>
    <row r="2544" spans="2:21" x14ac:dyDescent="0.2">
      <c r="B2544" s="182"/>
      <c r="C2544" s="182"/>
      <c r="D2544" s="182"/>
      <c r="E2544" s="182"/>
      <c r="F2544" s="182"/>
      <c r="I2544" s="40"/>
      <c r="J2544" s="186"/>
      <c r="K2544" s="186"/>
      <c r="L2544" s="186"/>
      <c r="M2544" s="186"/>
      <c r="N2544" s="186"/>
      <c r="O2544" s="186"/>
      <c r="P2544" s="186"/>
      <c r="Q2544" s="182"/>
      <c r="R2544" s="182"/>
      <c r="S2544" s="182"/>
      <c r="T2544" s="186"/>
      <c r="U2544" s="186"/>
    </row>
    <row r="2545" spans="2:21" x14ac:dyDescent="0.2">
      <c r="B2545" s="182"/>
      <c r="C2545" s="182"/>
      <c r="D2545" s="182"/>
      <c r="E2545" s="182"/>
      <c r="F2545" s="182"/>
      <c r="I2545" s="40"/>
      <c r="J2545" s="186"/>
      <c r="K2545" s="186"/>
      <c r="L2545" s="186"/>
      <c r="M2545" s="186"/>
      <c r="N2545" s="186"/>
      <c r="O2545" s="186"/>
      <c r="P2545" s="186"/>
      <c r="Q2545" s="182"/>
      <c r="R2545" s="182"/>
      <c r="S2545" s="182"/>
      <c r="T2545" s="186"/>
      <c r="U2545" s="186"/>
    </row>
    <row r="2546" spans="2:21" x14ac:dyDescent="0.2">
      <c r="B2546" s="182"/>
      <c r="C2546" s="182"/>
      <c r="D2546" s="182"/>
      <c r="E2546" s="182"/>
      <c r="F2546" s="182"/>
      <c r="I2546" s="40"/>
      <c r="J2546" s="186"/>
      <c r="K2546" s="186"/>
      <c r="L2546" s="186"/>
      <c r="M2546" s="186"/>
      <c r="N2546" s="186"/>
      <c r="O2546" s="186"/>
      <c r="P2546" s="186"/>
      <c r="Q2546" s="182"/>
      <c r="R2546" s="182"/>
      <c r="S2546" s="182"/>
      <c r="T2546" s="186"/>
      <c r="U2546" s="186"/>
    </row>
    <row r="2547" spans="2:21" x14ac:dyDescent="0.2">
      <c r="B2547" s="182"/>
      <c r="C2547" s="182"/>
      <c r="D2547" s="182"/>
      <c r="E2547" s="182"/>
      <c r="F2547" s="182"/>
      <c r="I2547" s="40"/>
      <c r="J2547" s="186"/>
      <c r="K2547" s="186"/>
      <c r="L2547" s="186"/>
      <c r="M2547" s="186"/>
      <c r="N2547" s="186"/>
      <c r="O2547" s="186"/>
      <c r="P2547" s="186"/>
      <c r="Q2547" s="182"/>
      <c r="R2547" s="182"/>
      <c r="S2547" s="182"/>
      <c r="T2547" s="186"/>
      <c r="U2547" s="186"/>
    </row>
    <row r="2548" spans="2:21" x14ac:dyDescent="0.2">
      <c r="B2548" s="182"/>
      <c r="C2548" s="182"/>
      <c r="D2548" s="182"/>
      <c r="E2548" s="182"/>
      <c r="F2548" s="182"/>
      <c r="I2548" s="40"/>
      <c r="J2548" s="186"/>
      <c r="K2548" s="186"/>
      <c r="L2548" s="186"/>
      <c r="M2548" s="186"/>
      <c r="N2548" s="186"/>
      <c r="O2548" s="186"/>
      <c r="P2548" s="186"/>
      <c r="Q2548" s="182"/>
      <c r="R2548" s="182"/>
      <c r="S2548" s="182"/>
      <c r="T2548" s="186"/>
      <c r="U2548" s="186"/>
    </row>
    <row r="2549" spans="2:21" x14ac:dyDescent="0.2">
      <c r="B2549" s="182"/>
      <c r="C2549" s="182"/>
      <c r="D2549" s="182"/>
      <c r="E2549" s="182"/>
      <c r="F2549" s="182"/>
      <c r="I2549" s="40"/>
      <c r="J2549" s="186"/>
      <c r="K2549" s="186"/>
      <c r="L2549" s="186"/>
      <c r="M2549" s="186"/>
      <c r="N2549" s="186"/>
      <c r="O2549" s="186"/>
      <c r="P2549" s="186"/>
      <c r="Q2549" s="182"/>
      <c r="R2549" s="182"/>
      <c r="S2549" s="182"/>
      <c r="T2549" s="186"/>
      <c r="U2549" s="186"/>
    </row>
    <row r="2550" spans="2:21" x14ac:dyDescent="0.2">
      <c r="B2550" s="182"/>
      <c r="C2550" s="182"/>
      <c r="D2550" s="182"/>
      <c r="E2550" s="182"/>
      <c r="F2550" s="182"/>
      <c r="I2550" s="40"/>
      <c r="J2550" s="186"/>
      <c r="K2550" s="186"/>
      <c r="L2550" s="186"/>
      <c r="M2550" s="186"/>
      <c r="N2550" s="186"/>
      <c r="O2550" s="186"/>
      <c r="P2550" s="186"/>
      <c r="Q2550" s="182"/>
      <c r="R2550" s="182"/>
      <c r="S2550" s="182"/>
      <c r="T2550" s="186"/>
      <c r="U2550" s="186"/>
    </row>
    <row r="2551" spans="2:21" x14ac:dyDescent="0.2">
      <c r="B2551" s="182"/>
      <c r="C2551" s="182"/>
      <c r="D2551" s="182"/>
      <c r="E2551" s="182"/>
      <c r="F2551" s="182"/>
      <c r="I2551" s="40"/>
      <c r="J2551" s="186"/>
      <c r="K2551" s="186"/>
      <c r="L2551" s="186"/>
      <c r="M2551" s="186"/>
      <c r="N2551" s="186"/>
      <c r="O2551" s="186"/>
      <c r="P2551" s="186"/>
      <c r="Q2551" s="182"/>
      <c r="R2551" s="182"/>
      <c r="S2551" s="182"/>
      <c r="T2551" s="186"/>
      <c r="U2551" s="186"/>
    </row>
    <row r="2552" spans="2:21" x14ac:dyDescent="0.2">
      <c r="B2552" s="182"/>
      <c r="C2552" s="182"/>
      <c r="D2552" s="182"/>
      <c r="E2552" s="182"/>
      <c r="F2552" s="182"/>
      <c r="I2552" s="40"/>
      <c r="J2552" s="186"/>
      <c r="K2552" s="186"/>
      <c r="L2552" s="186"/>
      <c r="M2552" s="186"/>
      <c r="N2552" s="186"/>
      <c r="O2552" s="186"/>
      <c r="P2552" s="186"/>
      <c r="Q2552" s="182"/>
      <c r="R2552" s="182"/>
      <c r="S2552" s="182"/>
      <c r="T2552" s="186"/>
      <c r="U2552" s="186"/>
    </row>
    <row r="2553" spans="2:21" x14ac:dyDescent="0.2">
      <c r="B2553" s="182"/>
      <c r="C2553" s="182"/>
      <c r="D2553" s="182"/>
      <c r="E2553" s="182"/>
      <c r="F2553" s="182"/>
      <c r="I2553" s="40"/>
      <c r="J2553" s="186"/>
      <c r="K2553" s="186"/>
      <c r="L2553" s="186"/>
      <c r="M2553" s="186"/>
      <c r="N2553" s="186"/>
      <c r="O2553" s="186"/>
      <c r="P2553" s="186"/>
      <c r="Q2553" s="182"/>
      <c r="R2553" s="182"/>
      <c r="S2553" s="182"/>
      <c r="T2553" s="186"/>
      <c r="U2553" s="186"/>
    </row>
    <row r="2554" spans="2:21" x14ac:dyDescent="0.2">
      <c r="B2554" s="182"/>
      <c r="C2554" s="182"/>
      <c r="D2554" s="182"/>
      <c r="E2554" s="182"/>
      <c r="F2554" s="182"/>
      <c r="I2554" s="40"/>
      <c r="J2554" s="186"/>
      <c r="K2554" s="186"/>
      <c r="L2554" s="186"/>
      <c r="M2554" s="186"/>
      <c r="N2554" s="186"/>
      <c r="O2554" s="186"/>
      <c r="P2554" s="186"/>
      <c r="Q2554" s="182"/>
      <c r="R2554" s="182"/>
      <c r="S2554" s="182"/>
      <c r="T2554" s="186"/>
      <c r="U2554" s="186"/>
    </row>
    <row r="2555" spans="2:21" x14ac:dyDescent="0.2">
      <c r="B2555" s="182"/>
      <c r="C2555" s="182"/>
      <c r="D2555" s="182"/>
      <c r="E2555" s="182"/>
      <c r="F2555" s="182"/>
      <c r="I2555" s="40"/>
      <c r="J2555" s="186"/>
      <c r="K2555" s="186"/>
      <c r="L2555" s="186"/>
      <c r="M2555" s="186"/>
      <c r="N2555" s="186"/>
      <c r="O2555" s="186"/>
      <c r="P2555" s="186"/>
      <c r="Q2555" s="182"/>
      <c r="R2555" s="182"/>
      <c r="S2555" s="182"/>
      <c r="T2555" s="186"/>
      <c r="U2555" s="186"/>
    </row>
    <row r="2556" spans="2:21" x14ac:dyDescent="0.2">
      <c r="B2556" s="182"/>
      <c r="C2556" s="182"/>
      <c r="D2556" s="182"/>
      <c r="E2556" s="182"/>
      <c r="F2556" s="182"/>
      <c r="I2556" s="40"/>
      <c r="J2556" s="186"/>
      <c r="K2556" s="186"/>
      <c r="L2556" s="186"/>
      <c r="M2556" s="186"/>
      <c r="N2556" s="186"/>
      <c r="O2556" s="186"/>
      <c r="P2556" s="186"/>
      <c r="Q2556" s="182"/>
      <c r="R2556" s="182"/>
      <c r="S2556" s="182"/>
      <c r="T2556" s="186"/>
      <c r="U2556" s="186"/>
    </row>
    <row r="2557" spans="2:21" x14ac:dyDescent="0.2">
      <c r="B2557" s="182"/>
      <c r="C2557" s="182"/>
      <c r="D2557" s="182"/>
      <c r="E2557" s="182"/>
      <c r="F2557" s="182"/>
      <c r="I2557" s="40"/>
      <c r="J2557" s="186"/>
      <c r="K2557" s="186"/>
      <c r="L2557" s="186"/>
      <c r="M2557" s="186"/>
      <c r="N2557" s="186"/>
      <c r="O2557" s="186"/>
      <c r="P2557" s="186"/>
      <c r="Q2557" s="182"/>
      <c r="R2557" s="182"/>
      <c r="S2557" s="182"/>
      <c r="T2557" s="186"/>
      <c r="U2557" s="186"/>
    </row>
    <row r="2558" spans="2:21" x14ac:dyDescent="0.2">
      <c r="B2558" s="182"/>
      <c r="C2558" s="182"/>
      <c r="D2558" s="182"/>
      <c r="E2558" s="182"/>
      <c r="F2558" s="182"/>
      <c r="I2558" s="40"/>
      <c r="J2558" s="186"/>
      <c r="K2558" s="186"/>
      <c r="L2558" s="186"/>
      <c r="M2558" s="186"/>
      <c r="N2558" s="186"/>
      <c r="O2558" s="186"/>
      <c r="P2558" s="186"/>
      <c r="Q2558" s="182"/>
      <c r="R2558" s="182"/>
      <c r="S2558" s="182"/>
      <c r="T2558" s="186"/>
      <c r="U2558" s="186"/>
    </row>
    <row r="2559" spans="2:21" x14ac:dyDescent="0.2">
      <c r="B2559" s="182"/>
      <c r="C2559" s="182"/>
      <c r="D2559" s="182"/>
      <c r="E2559" s="182"/>
      <c r="F2559" s="182"/>
      <c r="I2559" s="40"/>
      <c r="J2559" s="186"/>
      <c r="K2559" s="186"/>
      <c r="L2559" s="186"/>
      <c r="M2559" s="186"/>
      <c r="N2559" s="186"/>
      <c r="O2559" s="186"/>
      <c r="P2559" s="186"/>
      <c r="Q2559" s="182"/>
      <c r="R2559" s="182"/>
      <c r="S2559" s="182"/>
      <c r="T2559" s="186"/>
      <c r="U2559" s="186"/>
    </row>
    <row r="2560" spans="2:21" x14ac:dyDescent="0.2">
      <c r="B2560" s="182"/>
      <c r="C2560" s="182"/>
      <c r="D2560" s="182"/>
      <c r="E2560" s="182"/>
      <c r="F2560" s="182"/>
      <c r="I2560" s="40"/>
      <c r="J2560" s="186"/>
      <c r="K2560" s="186"/>
      <c r="L2560" s="186"/>
      <c r="M2560" s="186"/>
      <c r="N2560" s="186"/>
      <c r="O2560" s="186"/>
      <c r="P2560" s="186"/>
      <c r="Q2560" s="182"/>
      <c r="R2560" s="182"/>
      <c r="S2560" s="182"/>
      <c r="T2560" s="186"/>
      <c r="U2560" s="186"/>
    </row>
    <row r="2561" spans="2:21" x14ac:dyDescent="0.2">
      <c r="B2561" s="182"/>
      <c r="C2561" s="182"/>
      <c r="D2561" s="182"/>
      <c r="E2561" s="182"/>
      <c r="F2561" s="182"/>
      <c r="I2561" s="40"/>
      <c r="J2561" s="186"/>
      <c r="K2561" s="186"/>
      <c r="L2561" s="186"/>
      <c r="M2561" s="186"/>
      <c r="N2561" s="186"/>
      <c r="O2561" s="186"/>
      <c r="P2561" s="186"/>
      <c r="Q2561" s="182"/>
      <c r="R2561" s="182"/>
      <c r="S2561" s="182"/>
      <c r="T2561" s="186"/>
      <c r="U2561" s="186"/>
    </row>
    <row r="2562" spans="2:21" x14ac:dyDescent="0.2">
      <c r="B2562" s="182"/>
      <c r="C2562" s="182"/>
      <c r="D2562" s="182"/>
      <c r="E2562" s="182"/>
      <c r="F2562" s="182"/>
      <c r="I2562" s="40"/>
      <c r="J2562" s="186"/>
      <c r="K2562" s="186"/>
      <c r="L2562" s="186"/>
      <c r="M2562" s="186"/>
      <c r="N2562" s="186"/>
      <c r="O2562" s="186"/>
      <c r="P2562" s="186"/>
      <c r="Q2562" s="182"/>
      <c r="R2562" s="182"/>
      <c r="S2562" s="182"/>
      <c r="T2562" s="186"/>
      <c r="U2562" s="186"/>
    </row>
    <row r="2563" spans="2:21" x14ac:dyDescent="0.2">
      <c r="B2563" s="182"/>
      <c r="C2563" s="182"/>
      <c r="D2563" s="182"/>
      <c r="E2563" s="182"/>
      <c r="F2563" s="182"/>
      <c r="I2563" s="40"/>
      <c r="J2563" s="186"/>
      <c r="K2563" s="186"/>
      <c r="L2563" s="186"/>
      <c r="M2563" s="186"/>
      <c r="N2563" s="186"/>
      <c r="O2563" s="186"/>
      <c r="P2563" s="186"/>
      <c r="Q2563" s="182"/>
      <c r="R2563" s="182"/>
      <c r="S2563" s="182"/>
      <c r="T2563" s="186"/>
      <c r="U2563" s="186"/>
    </row>
    <row r="2564" spans="2:21" x14ac:dyDescent="0.2">
      <c r="B2564" s="182"/>
      <c r="C2564" s="182"/>
      <c r="D2564" s="182"/>
      <c r="E2564" s="182"/>
      <c r="F2564" s="182"/>
      <c r="I2564" s="40"/>
      <c r="J2564" s="186"/>
      <c r="K2564" s="186"/>
      <c r="L2564" s="186"/>
      <c r="M2564" s="186"/>
      <c r="N2564" s="186"/>
      <c r="O2564" s="186"/>
      <c r="P2564" s="186"/>
      <c r="Q2564" s="182"/>
      <c r="R2564" s="182"/>
      <c r="S2564" s="182"/>
      <c r="T2564" s="186"/>
      <c r="U2564" s="186"/>
    </row>
    <row r="2565" spans="2:21" x14ac:dyDescent="0.2">
      <c r="B2565" s="182"/>
      <c r="C2565" s="182"/>
      <c r="D2565" s="182"/>
      <c r="E2565" s="182"/>
      <c r="F2565" s="182"/>
      <c r="I2565" s="40"/>
      <c r="J2565" s="186"/>
      <c r="K2565" s="186"/>
      <c r="L2565" s="186"/>
      <c r="M2565" s="186"/>
      <c r="N2565" s="186"/>
      <c r="O2565" s="186"/>
      <c r="P2565" s="186"/>
      <c r="Q2565" s="182"/>
      <c r="R2565" s="182"/>
      <c r="S2565" s="182"/>
      <c r="T2565" s="186"/>
      <c r="U2565" s="186"/>
    </row>
    <row r="2566" spans="2:21" x14ac:dyDescent="0.2">
      <c r="B2566" s="182"/>
      <c r="C2566" s="182"/>
      <c r="D2566" s="182"/>
      <c r="E2566" s="182"/>
      <c r="F2566" s="182"/>
      <c r="I2566" s="40"/>
      <c r="J2566" s="186"/>
      <c r="K2566" s="186"/>
      <c r="L2566" s="186"/>
      <c r="M2566" s="186"/>
      <c r="N2566" s="186"/>
      <c r="O2566" s="186"/>
      <c r="P2566" s="186"/>
      <c r="Q2566" s="182"/>
      <c r="R2566" s="182"/>
      <c r="S2566" s="182"/>
      <c r="T2566" s="186"/>
      <c r="U2566" s="186"/>
    </row>
    <row r="2567" spans="2:21" x14ac:dyDescent="0.2">
      <c r="B2567" s="182"/>
      <c r="C2567" s="182"/>
      <c r="D2567" s="182"/>
      <c r="E2567" s="182"/>
      <c r="F2567" s="182"/>
      <c r="I2567" s="40"/>
      <c r="J2567" s="186"/>
      <c r="K2567" s="186"/>
      <c r="L2567" s="186"/>
      <c r="M2567" s="186"/>
      <c r="N2567" s="186"/>
      <c r="O2567" s="186"/>
      <c r="P2567" s="186"/>
      <c r="Q2567" s="182"/>
      <c r="R2567" s="182"/>
      <c r="S2567" s="182"/>
      <c r="T2567" s="186"/>
      <c r="U2567" s="186"/>
    </row>
    <row r="2568" spans="2:21" x14ac:dyDescent="0.2">
      <c r="B2568" s="182"/>
      <c r="C2568" s="182"/>
      <c r="D2568" s="182"/>
      <c r="E2568" s="182"/>
      <c r="F2568" s="182"/>
      <c r="I2568" s="40"/>
      <c r="J2568" s="186"/>
      <c r="K2568" s="186"/>
      <c r="L2568" s="186"/>
      <c r="M2568" s="186"/>
      <c r="N2568" s="186"/>
      <c r="O2568" s="186"/>
      <c r="P2568" s="186"/>
      <c r="Q2568" s="182"/>
      <c r="R2568" s="182"/>
      <c r="S2568" s="182"/>
      <c r="T2568" s="186"/>
      <c r="U2568" s="186"/>
    </row>
    <row r="2569" spans="2:21" x14ac:dyDescent="0.2">
      <c r="B2569" s="182"/>
      <c r="C2569" s="182"/>
      <c r="D2569" s="182"/>
      <c r="E2569" s="182"/>
      <c r="F2569" s="182"/>
      <c r="I2569" s="40"/>
      <c r="J2569" s="186"/>
      <c r="K2569" s="186"/>
      <c r="L2569" s="186"/>
      <c r="M2569" s="186"/>
      <c r="N2569" s="186"/>
      <c r="O2569" s="186"/>
      <c r="P2569" s="186"/>
      <c r="Q2569" s="182"/>
      <c r="R2569" s="182"/>
      <c r="S2569" s="182"/>
      <c r="T2569" s="186"/>
      <c r="U2569" s="186"/>
    </row>
    <row r="2570" spans="2:21" x14ac:dyDescent="0.2">
      <c r="B2570" s="182"/>
      <c r="C2570" s="182"/>
      <c r="D2570" s="182"/>
      <c r="E2570" s="182"/>
      <c r="F2570" s="182"/>
      <c r="I2570" s="40"/>
      <c r="J2570" s="186"/>
      <c r="K2570" s="186"/>
      <c r="L2570" s="186"/>
      <c r="M2570" s="186"/>
      <c r="N2570" s="186"/>
      <c r="O2570" s="186"/>
      <c r="P2570" s="186"/>
      <c r="Q2570" s="182"/>
      <c r="R2570" s="182"/>
      <c r="S2570" s="182"/>
      <c r="T2570" s="186"/>
      <c r="U2570" s="186"/>
    </row>
    <row r="2571" spans="2:21" x14ac:dyDescent="0.2">
      <c r="B2571" s="182"/>
      <c r="C2571" s="182"/>
      <c r="D2571" s="182"/>
      <c r="E2571" s="182"/>
      <c r="F2571" s="182"/>
      <c r="I2571" s="40"/>
      <c r="J2571" s="186"/>
      <c r="K2571" s="186"/>
      <c r="L2571" s="186"/>
      <c r="M2571" s="186"/>
      <c r="N2571" s="186"/>
      <c r="O2571" s="186"/>
      <c r="P2571" s="186"/>
      <c r="Q2571" s="182"/>
      <c r="R2571" s="182"/>
      <c r="S2571" s="182"/>
      <c r="T2571" s="186"/>
      <c r="U2571" s="186"/>
    </row>
    <row r="2572" spans="2:21" x14ac:dyDescent="0.2">
      <c r="B2572" s="182"/>
      <c r="C2572" s="182"/>
      <c r="D2572" s="182"/>
      <c r="E2572" s="182"/>
      <c r="F2572" s="182"/>
      <c r="I2572" s="40"/>
      <c r="J2572" s="186"/>
      <c r="K2572" s="186"/>
      <c r="L2572" s="186"/>
      <c r="M2572" s="186"/>
      <c r="N2572" s="186"/>
      <c r="O2572" s="186"/>
      <c r="P2572" s="186"/>
      <c r="Q2572" s="182"/>
      <c r="R2572" s="182"/>
      <c r="S2572" s="182"/>
      <c r="T2572" s="186"/>
      <c r="U2572" s="186"/>
    </row>
    <row r="2573" spans="2:21" x14ac:dyDescent="0.2">
      <c r="B2573" s="182"/>
      <c r="C2573" s="182"/>
      <c r="D2573" s="182"/>
      <c r="E2573" s="182"/>
      <c r="F2573" s="182"/>
      <c r="I2573" s="40"/>
      <c r="J2573" s="186"/>
      <c r="K2573" s="186"/>
      <c r="L2573" s="186"/>
      <c r="M2573" s="186"/>
      <c r="N2573" s="186"/>
      <c r="O2573" s="186"/>
      <c r="P2573" s="186"/>
      <c r="Q2573" s="182"/>
      <c r="R2573" s="182"/>
      <c r="S2573" s="182"/>
      <c r="T2573" s="186"/>
      <c r="U2573" s="186"/>
    </row>
    <row r="2574" spans="2:21" x14ac:dyDescent="0.2">
      <c r="B2574" s="182"/>
      <c r="C2574" s="182"/>
      <c r="D2574" s="182"/>
      <c r="E2574" s="182"/>
      <c r="F2574" s="182"/>
      <c r="I2574" s="40"/>
      <c r="J2574" s="186"/>
      <c r="K2574" s="186"/>
      <c r="L2574" s="186"/>
      <c r="M2574" s="186"/>
      <c r="N2574" s="186"/>
      <c r="O2574" s="186"/>
      <c r="P2574" s="186"/>
      <c r="Q2574" s="182"/>
      <c r="R2574" s="182"/>
      <c r="S2574" s="182"/>
      <c r="T2574" s="186"/>
      <c r="U2574" s="186"/>
    </row>
    <row r="2575" spans="2:21" x14ac:dyDescent="0.2">
      <c r="B2575" s="182"/>
      <c r="C2575" s="182"/>
      <c r="D2575" s="182"/>
      <c r="E2575" s="182"/>
      <c r="F2575" s="182"/>
      <c r="I2575" s="40"/>
      <c r="J2575" s="186"/>
      <c r="K2575" s="186"/>
      <c r="L2575" s="186"/>
      <c r="M2575" s="186"/>
      <c r="N2575" s="186"/>
      <c r="O2575" s="186"/>
      <c r="P2575" s="186"/>
      <c r="Q2575" s="182"/>
      <c r="R2575" s="182"/>
      <c r="S2575" s="182"/>
      <c r="T2575" s="186"/>
      <c r="U2575" s="186"/>
    </row>
    <row r="2576" spans="2:21" x14ac:dyDescent="0.2">
      <c r="B2576" s="182"/>
      <c r="C2576" s="182"/>
      <c r="D2576" s="182"/>
      <c r="E2576" s="182"/>
      <c r="F2576" s="182"/>
      <c r="I2576" s="40"/>
      <c r="J2576" s="186"/>
      <c r="K2576" s="186"/>
      <c r="L2576" s="186"/>
      <c r="M2576" s="186"/>
      <c r="N2576" s="186"/>
      <c r="O2576" s="186"/>
      <c r="P2576" s="186"/>
      <c r="Q2576" s="182"/>
      <c r="R2576" s="182"/>
      <c r="S2576" s="182"/>
      <c r="T2576" s="186"/>
      <c r="U2576" s="186"/>
    </row>
    <row r="2577" spans="2:21" x14ac:dyDescent="0.2">
      <c r="B2577" s="182"/>
      <c r="C2577" s="182"/>
      <c r="D2577" s="182"/>
      <c r="E2577" s="182"/>
      <c r="F2577" s="182"/>
      <c r="I2577" s="40"/>
      <c r="J2577" s="186"/>
      <c r="K2577" s="186"/>
      <c r="L2577" s="186"/>
      <c r="M2577" s="186"/>
      <c r="N2577" s="186"/>
      <c r="O2577" s="186"/>
      <c r="P2577" s="186"/>
      <c r="Q2577" s="182"/>
      <c r="R2577" s="182"/>
      <c r="S2577" s="182"/>
      <c r="T2577" s="186"/>
      <c r="U2577" s="186"/>
    </row>
    <row r="2578" spans="2:21" x14ac:dyDescent="0.2">
      <c r="B2578" s="182"/>
      <c r="C2578" s="182"/>
      <c r="D2578" s="182"/>
      <c r="E2578" s="182"/>
      <c r="F2578" s="182"/>
      <c r="I2578" s="40"/>
      <c r="J2578" s="186"/>
      <c r="K2578" s="186"/>
      <c r="L2578" s="186"/>
      <c r="M2578" s="186"/>
      <c r="N2578" s="186"/>
      <c r="O2578" s="186"/>
      <c r="P2578" s="186"/>
      <c r="Q2578" s="182"/>
      <c r="R2578" s="182"/>
      <c r="S2578" s="182"/>
      <c r="T2578" s="186"/>
      <c r="U2578" s="186"/>
    </row>
    <row r="2579" spans="2:21" x14ac:dyDescent="0.2">
      <c r="B2579" s="182"/>
      <c r="C2579" s="182"/>
      <c r="D2579" s="182"/>
      <c r="E2579" s="182"/>
      <c r="F2579" s="182"/>
      <c r="I2579" s="40"/>
      <c r="J2579" s="186"/>
      <c r="K2579" s="186"/>
      <c r="L2579" s="186"/>
      <c r="M2579" s="186"/>
      <c r="N2579" s="186"/>
      <c r="O2579" s="186"/>
      <c r="P2579" s="186"/>
      <c r="Q2579" s="182"/>
      <c r="R2579" s="182"/>
      <c r="S2579" s="182"/>
      <c r="T2579" s="186"/>
      <c r="U2579" s="186"/>
    </row>
    <row r="2580" spans="2:21" x14ac:dyDescent="0.2">
      <c r="B2580" s="182"/>
      <c r="C2580" s="182"/>
      <c r="D2580" s="182"/>
      <c r="E2580" s="182"/>
      <c r="F2580" s="182"/>
      <c r="I2580" s="40"/>
      <c r="J2580" s="186"/>
      <c r="K2580" s="186"/>
      <c r="L2580" s="186"/>
      <c r="M2580" s="186"/>
      <c r="N2580" s="186"/>
      <c r="O2580" s="186"/>
      <c r="P2580" s="186"/>
      <c r="Q2580" s="182"/>
      <c r="R2580" s="182"/>
      <c r="S2580" s="182"/>
      <c r="T2580" s="186"/>
      <c r="U2580" s="186"/>
    </row>
    <row r="2581" spans="2:21" x14ac:dyDescent="0.2">
      <c r="B2581" s="182"/>
      <c r="C2581" s="182"/>
      <c r="D2581" s="182"/>
      <c r="E2581" s="182"/>
      <c r="F2581" s="182"/>
      <c r="I2581" s="40"/>
      <c r="J2581" s="186"/>
      <c r="K2581" s="186"/>
      <c r="L2581" s="186"/>
      <c r="M2581" s="186"/>
      <c r="N2581" s="186"/>
      <c r="O2581" s="186"/>
      <c r="P2581" s="186"/>
      <c r="Q2581" s="182"/>
      <c r="R2581" s="182"/>
      <c r="S2581" s="182"/>
      <c r="T2581" s="186"/>
      <c r="U2581" s="186"/>
    </row>
    <row r="2582" spans="2:21" x14ac:dyDescent="0.2">
      <c r="B2582" s="182"/>
      <c r="C2582" s="182"/>
      <c r="D2582" s="182"/>
      <c r="E2582" s="182"/>
      <c r="F2582" s="182"/>
      <c r="I2582" s="40"/>
      <c r="J2582" s="186"/>
      <c r="K2582" s="186"/>
      <c r="L2582" s="186"/>
      <c r="M2582" s="186"/>
      <c r="N2582" s="186"/>
      <c r="O2582" s="186"/>
      <c r="P2582" s="186"/>
      <c r="Q2582" s="182"/>
      <c r="R2582" s="182"/>
      <c r="S2582" s="182"/>
      <c r="T2582" s="186"/>
      <c r="U2582" s="186"/>
    </row>
    <row r="2583" spans="2:21" x14ac:dyDescent="0.2">
      <c r="B2583" s="182"/>
      <c r="C2583" s="182"/>
      <c r="D2583" s="182"/>
      <c r="E2583" s="182"/>
      <c r="F2583" s="182"/>
      <c r="I2583" s="40"/>
      <c r="J2583" s="186"/>
      <c r="K2583" s="186"/>
      <c r="L2583" s="186"/>
      <c r="M2583" s="186"/>
      <c r="N2583" s="186"/>
      <c r="O2583" s="186"/>
      <c r="P2583" s="186"/>
      <c r="Q2583" s="182"/>
      <c r="R2583" s="182"/>
      <c r="S2583" s="182"/>
      <c r="T2583" s="186"/>
      <c r="U2583" s="186"/>
    </row>
    <row r="2584" spans="2:21" x14ac:dyDescent="0.2">
      <c r="B2584" s="182"/>
      <c r="C2584" s="182"/>
      <c r="D2584" s="182"/>
      <c r="E2584" s="182"/>
      <c r="F2584" s="182"/>
      <c r="I2584" s="40"/>
      <c r="J2584" s="186"/>
      <c r="K2584" s="186"/>
      <c r="L2584" s="186"/>
      <c r="M2584" s="186"/>
      <c r="N2584" s="186"/>
      <c r="O2584" s="186"/>
      <c r="P2584" s="186"/>
      <c r="Q2584" s="182"/>
      <c r="R2584" s="182"/>
      <c r="S2584" s="182"/>
      <c r="T2584" s="186"/>
      <c r="U2584" s="186"/>
    </row>
    <row r="2585" spans="2:21" x14ac:dyDescent="0.2">
      <c r="B2585" s="182"/>
      <c r="C2585" s="182"/>
      <c r="D2585" s="182"/>
      <c r="E2585" s="182"/>
      <c r="F2585" s="182"/>
      <c r="I2585" s="40"/>
      <c r="J2585" s="186"/>
      <c r="K2585" s="186"/>
      <c r="L2585" s="186"/>
      <c r="M2585" s="186"/>
      <c r="N2585" s="186"/>
      <c r="O2585" s="186"/>
      <c r="P2585" s="186"/>
      <c r="Q2585" s="182"/>
      <c r="R2585" s="182"/>
      <c r="S2585" s="182"/>
      <c r="T2585" s="186"/>
      <c r="U2585" s="186"/>
    </row>
    <row r="2586" spans="2:21" x14ac:dyDescent="0.2">
      <c r="B2586" s="182"/>
      <c r="C2586" s="182"/>
      <c r="D2586" s="182"/>
      <c r="E2586" s="182"/>
      <c r="F2586" s="182"/>
      <c r="I2586" s="40"/>
      <c r="J2586" s="186"/>
      <c r="K2586" s="186"/>
      <c r="L2586" s="186"/>
      <c r="M2586" s="186"/>
      <c r="N2586" s="186"/>
      <c r="O2586" s="186"/>
      <c r="P2586" s="186"/>
      <c r="Q2586" s="182"/>
      <c r="R2586" s="182"/>
      <c r="S2586" s="182"/>
      <c r="T2586" s="186"/>
      <c r="U2586" s="186"/>
    </row>
    <row r="2587" spans="2:21" x14ac:dyDescent="0.2">
      <c r="B2587" s="182"/>
      <c r="C2587" s="182"/>
      <c r="D2587" s="182"/>
      <c r="E2587" s="182"/>
      <c r="F2587" s="182"/>
      <c r="I2587" s="40"/>
      <c r="J2587" s="186"/>
      <c r="K2587" s="186"/>
      <c r="L2587" s="186"/>
      <c r="M2587" s="186"/>
      <c r="N2587" s="186"/>
      <c r="O2587" s="186"/>
      <c r="P2587" s="186"/>
      <c r="Q2587" s="182"/>
      <c r="R2587" s="182"/>
      <c r="S2587" s="182"/>
      <c r="T2587" s="186"/>
      <c r="U2587" s="186"/>
    </row>
    <row r="2588" spans="2:21" x14ac:dyDescent="0.2">
      <c r="B2588" s="182"/>
      <c r="C2588" s="182"/>
      <c r="D2588" s="182"/>
      <c r="E2588" s="182"/>
      <c r="F2588" s="182"/>
      <c r="I2588" s="40"/>
      <c r="J2588" s="186"/>
      <c r="K2588" s="186"/>
      <c r="L2588" s="186"/>
      <c r="M2588" s="186"/>
      <c r="N2588" s="186"/>
      <c r="O2588" s="186"/>
      <c r="P2588" s="186"/>
      <c r="Q2588" s="182"/>
      <c r="R2588" s="182"/>
      <c r="S2588" s="182"/>
      <c r="T2588" s="186"/>
      <c r="U2588" s="186"/>
    </row>
    <row r="2589" spans="2:21" x14ac:dyDescent="0.2">
      <c r="B2589" s="182"/>
      <c r="C2589" s="182"/>
      <c r="D2589" s="182"/>
      <c r="E2589" s="182"/>
      <c r="F2589" s="182"/>
      <c r="I2589" s="40"/>
      <c r="J2589" s="186"/>
      <c r="K2589" s="186"/>
      <c r="L2589" s="186"/>
      <c r="M2589" s="186"/>
      <c r="N2589" s="186"/>
      <c r="O2589" s="186"/>
      <c r="P2589" s="186"/>
      <c r="Q2589" s="182"/>
      <c r="R2589" s="182"/>
      <c r="S2589" s="182"/>
      <c r="T2589" s="186"/>
      <c r="U2589" s="186"/>
    </row>
    <row r="2590" spans="2:21" x14ac:dyDescent="0.2">
      <c r="B2590" s="182"/>
      <c r="C2590" s="182"/>
      <c r="D2590" s="182"/>
      <c r="E2590" s="182"/>
      <c r="F2590" s="182"/>
      <c r="I2590" s="40"/>
      <c r="J2590" s="186"/>
      <c r="K2590" s="186"/>
      <c r="L2590" s="186"/>
      <c r="M2590" s="186"/>
      <c r="N2590" s="186"/>
      <c r="O2590" s="186"/>
      <c r="P2590" s="186"/>
      <c r="Q2590" s="182"/>
      <c r="R2590" s="182"/>
      <c r="S2590" s="182"/>
      <c r="T2590" s="186"/>
      <c r="U2590" s="186"/>
    </row>
    <row r="2591" spans="2:21" x14ac:dyDescent="0.2">
      <c r="B2591" s="182"/>
      <c r="C2591" s="182"/>
      <c r="D2591" s="182"/>
      <c r="E2591" s="182"/>
      <c r="F2591" s="182"/>
      <c r="I2591" s="40"/>
      <c r="J2591" s="186"/>
      <c r="K2591" s="186"/>
      <c r="L2591" s="186"/>
      <c r="M2591" s="186"/>
      <c r="N2591" s="186"/>
      <c r="O2591" s="186"/>
      <c r="P2591" s="186"/>
      <c r="Q2591" s="182"/>
      <c r="R2591" s="182"/>
      <c r="S2591" s="182"/>
      <c r="T2591" s="186"/>
      <c r="U2591" s="186"/>
    </row>
    <row r="2592" spans="2:21" x14ac:dyDescent="0.2">
      <c r="B2592" s="182"/>
      <c r="C2592" s="182"/>
      <c r="D2592" s="182"/>
      <c r="E2592" s="182"/>
      <c r="F2592" s="182"/>
      <c r="I2592" s="40"/>
      <c r="J2592" s="186"/>
      <c r="K2592" s="186"/>
      <c r="L2592" s="186"/>
      <c r="M2592" s="186"/>
      <c r="N2592" s="186"/>
      <c r="O2592" s="186"/>
      <c r="P2592" s="186"/>
      <c r="Q2592" s="182"/>
      <c r="R2592" s="182"/>
      <c r="S2592" s="182"/>
      <c r="T2592" s="186"/>
      <c r="U2592" s="186"/>
    </row>
    <row r="2593" spans="2:21" x14ac:dyDescent="0.2">
      <c r="B2593" s="182"/>
      <c r="C2593" s="182"/>
      <c r="D2593" s="182"/>
      <c r="E2593" s="182"/>
      <c r="F2593" s="182"/>
      <c r="I2593" s="40"/>
      <c r="J2593" s="186"/>
      <c r="K2593" s="186"/>
      <c r="L2593" s="186"/>
      <c r="M2593" s="186"/>
      <c r="N2593" s="186"/>
      <c r="O2593" s="186"/>
      <c r="P2593" s="186"/>
      <c r="Q2593" s="182"/>
      <c r="R2593" s="182"/>
      <c r="S2593" s="182"/>
      <c r="T2593" s="186"/>
      <c r="U2593" s="186"/>
    </row>
    <row r="2594" spans="2:21" x14ac:dyDescent="0.2">
      <c r="B2594" s="182"/>
      <c r="C2594" s="182"/>
      <c r="D2594" s="182"/>
      <c r="E2594" s="182"/>
      <c r="F2594" s="182"/>
      <c r="I2594" s="40"/>
      <c r="J2594" s="186"/>
      <c r="K2594" s="186"/>
      <c r="L2594" s="186"/>
      <c r="M2594" s="186"/>
      <c r="N2594" s="186"/>
      <c r="O2594" s="186"/>
      <c r="P2594" s="186"/>
      <c r="Q2594" s="182"/>
      <c r="R2594" s="182"/>
      <c r="S2594" s="182"/>
      <c r="T2594" s="186"/>
      <c r="U2594" s="186"/>
    </row>
    <row r="2595" spans="2:21" x14ac:dyDescent="0.2">
      <c r="B2595" s="182"/>
      <c r="C2595" s="182"/>
      <c r="D2595" s="182"/>
      <c r="E2595" s="182"/>
      <c r="F2595" s="182"/>
      <c r="I2595" s="40"/>
      <c r="J2595" s="186"/>
      <c r="K2595" s="186"/>
      <c r="L2595" s="186"/>
      <c r="M2595" s="186"/>
      <c r="N2595" s="186"/>
      <c r="O2595" s="186"/>
      <c r="P2595" s="186"/>
      <c r="Q2595" s="182"/>
      <c r="R2595" s="182"/>
      <c r="S2595" s="182"/>
      <c r="T2595" s="186"/>
      <c r="U2595" s="186"/>
    </row>
    <row r="2596" spans="2:21" x14ac:dyDescent="0.2">
      <c r="B2596" s="182"/>
      <c r="C2596" s="182"/>
      <c r="D2596" s="182"/>
      <c r="E2596" s="182"/>
      <c r="F2596" s="182"/>
      <c r="I2596" s="40"/>
      <c r="J2596" s="186"/>
      <c r="K2596" s="186"/>
      <c r="L2596" s="186"/>
      <c r="M2596" s="186"/>
      <c r="N2596" s="186"/>
      <c r="O2596" s="186"/>
      <c r="P2596" s="186"/>
      <c r="Q2596" s="182"/>
      <c r="R2596" s="182"/>
      <c r="S2596" s="182"/>
      <c r="T2596" s="186"/>
      <c r="U2596" s="186"/>
    </row>
    <row r="2597" spans="2:21" x14ac:dyDescent="0.2">
      <c r="B2597" s="182"/>
      <c r="C2597" s="182"/>
      <c r="D2597" s="182"/>
      <c r="E2597" s="182"/>
      <c r="F2597" s="182"/>
      <c r="I2597" s="40"/>
      <c r="J2597" s="186"/>
      <c r="K2597" s="186"/>
      <c r="L2597" s="186"/>
      <c r="M2597" s="186"/>
      <c r="N2597" s="186"/>
      <c r="O2597" s="186"/>
      <c r="P2597" s="186"/>
      <c r="Q2597" s="182"/>
      <c r="R2597" s="182"/>
      <c r="S2597" s="182"/>
      <c r="T2597" s="186"/>
      <c r="U2597" s="186"/>
    </row>
    <row r="2598" spans="2:21" x14ac:dyDescent="0.2">
      <c r="B2598" s="182"/>
      <c r="C2598" s="182"/>
      <c r="D2598" s="182"/>
      <c r="E2598" s="182"/>
      <c r="F2598" s="182"/>
      <c r="I2598" s="40"/>
      <c r="J2598" s="186"/>
      <c r="K2598" s="186"/>
      <c r="L2598" s="186"/>
      <c r="M2598" s="186"/>
      <c r="N2598" s="186"/>
      <c r="O2598" s="186"/>
      <c r="P2598" s="186"/>
      <c r="Q2598" s="182"/>
      <c r="R2598" s="182"/>
      <c r="S2598" s="182"/>
      <c r="T2598" s="186"/>
      <c r="U2598" s="186"/>
    </row>
    <row r="2599" spans="2:21" x14ac:dyDescent="0.2">
      <c r="B2599" s="182"/>
      <c r="C2599" s="182"/>
      <c r="D2599" s="182"/>
      <c r="E2599" s="182"/>
      <c r="F2599" s="182"/>
      <c r="I2599" s="40"/>
      <c r="J2599" s="186"/>
      <c r="K2599" s="186"/>
      <c r="L2599" s="186"/>
      <c r="M2599" s="186"/>
      <c r="N2599" s="186"/>
      <c r="O2599" s="186"/>
      <c r="P2599" s="186"/>
      <c r="Q2599" s="182"/>
      <c r="R2599" s="182"/>
      <c r="S2599" s="182"/>
      <c r="T2599" s="186"/>
      <c r="U2599" s="186"/>
    </row>
    <row r="2600" spans="2:21" x14ac:dyDescent="0.2">
      <c r="B2600" s="182"/>
      <c r="C2600" s="182"/>
      <c r="D2600" s="182"/>
      <c r="E2600" s="182"/>
      <c r="F2600" s="182"/>
      <c r="I2600" s="40"/>
      <c r="J2600" s="186"/>
      <c r="K2600" s="186"/>
      <c r="L2600" s="186"/>
      <c r="M2600" s="186"/>
      <c r="N2600" s="186"/>
      <c r="O2600" s="186"/>
      <c r="P2600" s="186"/>
      <c r="Q2600" s="182"/>
      <c r="R2600" s="182"/>
      <c r="S2600" s="182"/>
      <c r="T2600" s="186"/>
      <c r="U2600" s="186"/>
    </row>
    <row r="2601" spans="2:21" x14ac:dyDescent="0.2">
      <c r="B2601" s="182"/>
      <c r="C2601" s="182"/>
      <c r="D2601" s="182"/>
      <c r="E2601" s="182"/>
      <c r="F2601" s="182"/>
      <c r="I2601" s="40"/>
      <c r="J2601" s="186"/>
      <c r="K2601" s="186"/>
      <c r="L2601" s="186"/>
      <c r="M2601" s="186"/>
      <c r="N2601" s="186"/>
      <c r="O2601" s="186"/>
      <c r="P2601" s="186"/>
      <c r="Q2601" s="182"/>
      <c r="R2601" s="182"/>
      <c r="S2601" s="182"/>
      <c r="T2601" s="186"/>
      <c r="U2601" s="186"/>
    </row>
    <row r="2602" spans="2:21" x14ac:dyDescent="0.2">
      <c r="B2602" s="182"/>
      <c r="C2602" s="182"/>
      <c r="D2602" s="182"/>
      <c r="E2602" s="182"/>
      <c r="F2602" s="182"/>
      <c r="I2602" s="40"/>
      <c r="J2602" s="186"/>
      <c r="K2602" s="186"/>
      <c r="L2602" s="186"/>
      <c r="M2602" s="186"/>
      <c r="N2602" s="186"/>
      <c r="O2602" s="186"/>
      <c r="P2602" s="186"/>
      <c r="Q2602" s="182"/>
      <c r="R2602" s="182"/>
      <c r="S2602" s="182"/>
      <c r="T2602" s="186"/>
      <c r="U2602" s="186"/>
    </row>
    <row r="2603" spans="2:21" x14ac:dyDescent="0.2">
      <c r="B2603" s="182"/>
      <c r="C2603" s="182"/>
      <c r="D2603" s="182"/>
      <c r="E2603" s="182"/>
      <c r="F2603" s="182"/>
      <c r="I2603" s="40"/>
      <c r="J2603" s="186"/>
      <c r="K2603" s="186"/>
      <c r="L2603" s="186"/>
      <c r="M2603" s="186"/>
      <c r="N2603" s="186"/>
      <c r="O2603" s="186"/>
      <c r="P2603" s="186"/>
      <c r="Q2603" s="182"/>
      <c r="R2603" s="182"/>
      <c r="S2603" s="182"/>
      <c r="T2603" s="186"/>
      <c r="U2603" s="186"/>
    </row>
    <row r="2604" spans="2:21" x14ac:dyDescent="0.2">
      <c r="B2604" s="182"/>
      <c r="C2604" s="182"/>
      <c r="D2604" s="182"/>
      <c r="E2604" s="182"/>
      <c r="F2604" s="182"/>
      <c r="I2604" s="40"/>
      <c r="J2604" s="186"/>
      <c r="K2604" s="186"/>
      <c r="L2604" s="186"/>
      <c r="M2604" s="186"/>
      <c r="N2604" s="186"/>
      <c r="O2604" s="186"/>
      <c r="P2604" s="186"/>
      <c r="Q2604" s="182"/>
      <c r="R2604" s="182"/>
      <c r="S2604" s="182"/>
      <c r="T2604" s="186"/>
      <c r="U2604" s="186"/>
    </row>
    <row r="2605" spans="2:21" x14ac:dyDescent="0.2">
      <c r="B2605" s="182"/>
      <c r="C2605" s="182"/>
      <c r="D2605" s="182"/>
      <c r="E2605" s="182"/>
      <c r="F2605" s="182"/>
      <c r="I2605" s="40"/>
      <c r="J2605" s="186"/>
      <c r="K2605" s="186"/>
      <c r="L2605" s="186"/>
      <c r="M2605" s="186"/>
      <c r="N2605" s="186"/>
      <c r="O2605" s="186"/>
      <c r="P2605" s="186"/>
      <c r="Q2605" s="182"/>
      <c r="R2605" s="182"/>
      <c r="S2605" s="182"/>
      <c r="T2605" s="186"/>
      <c r="U2605" s="186"/>
    </row>
    <row r="2606" spans="2:21" x14ac:dyDescent="0.2">
      <c r="B2606" s="182"/>
      <c r="C2606" s="182"/>
      <c r="D2606" s="182"/>
      <c r="E2606" s="182"/>
      <c r="F2606" s="182"/>
      <c r="I2606" s="40"/>
      <c r="J2606" s="186"/>
      <c r="K2606" s="186"/>
      <c r="L2606" s="186"/>
      <c r="M2606" s="186"/>
      <c r="N2606" s="186"/>
      <c r="O2606" s="186"/>
      <c r="P2606" s="186"/>
      <c r="Q2606" s="182"/>
      <c r="R2606" s="182"/>
      <c r="S2606" s="182"/>
      <c r="T2606" s="186"/>
      <c r="U2606" s="186"/>
    </row>
    <row r="2607" spans="2:21" x14ac:dyDescent="0.2">
      <c r="B2607" s="182"/>
      <c r="C2607" s="182"/>
      <c r="D2607" s="182"/>
      <c r="E2607" s="182"/>
      <c r="F2607" s="182"/>
      <c r="I2607" s="40"/>
      <c r="J2607" s="186"/>
      <c r="K2607" s="186"/>
      <c r="L2607" s="186"/>
      <c r="M2607" s="186"/>
      <c r="N2607" s="186"/>
      <c r="O2607" s="186"/>
      <c r="P2607" s="186"/>
      <c r="Q2607" s="182"/>
      <c r="R2607" s="182"/>
      <c r="S2607" s="182"/>
      <c r="T2607" s="186"/>
      <c r="U2607" s="186"/>
    </row>
    <row r="2608" spans="2:21" x14ac:dyDescent="0.2">
      <c r="B2608" s="182"/>
      <c r="C2608" s="182"/>
      <c r="D2608" s="182"/>
      <c r="E2608" s="182"/>
      <c r="F2608" s="182"/>
      <c r="I2608" s="40"/>
      <c r="J2608" s="186"/>
      <c r="K2608" s="186"/>
      <c r="L2608" s="186"/>
      <c r="M2608" s="186"/>
      <c r="N2608" s="186"/>
      <c r="O2608" s="186"/>
      <c r="P2608" s="186"/>
      <c r="Q2608" s="182"/>
      <c r="R2608" s="182"/>
      <c r="S2608" s="182"/>
      <c r="T2608" s="186"/>
      <c r="U2608" s="186"/>
    </row>
    <row r="2609" spans="2:21" x14ac:dyDescent="0.2">
      <c r="B2609" s="182"/>
      <c r="C2609" s="182"/>
      <c r="D2609" s="182"/>
      <c r="E2609" s="182"/>
      <c r="F2609" s="182"/>
      <c r="I2609" s="40"/>
      <c r="J2609" s="186"/>
      <c r="K2609" s="186"/>
      <c r="L2609" s="186"/>
      <c r="M2609" s="186"/>
      <c r="N2609" s="186"/>
      <c r="O2609" s="186"/>
      <c r="P2609" s="186"/>
      <c r="Q2609" s="182"/>
      <c r="R2609" s="182"/>
      <c r="S2609" s="182"/>
      <c r="T2609" s="186"/>
      <c r="U2609" s="186"/>
    </row>
    <row r="2610" spans="2:21" x14ac:dyDescent="0.2">
      <c r="B2610" s="182"/>
      <c r="C2610" s="182"/>
      <c r="D2610" s="182"/>
      <c r="E2610" s="182"/>
      <c r="F2610" s="182"/>
      <c r="I2610" s="40"/>
      <c r="J2610" s="186"/>
      <c r="K2610" s="186"/>
      <c r="L2610" s="186"/>
      <c r="M2610" s="186"/>
      <c r="N2610" s="186"/>
      <c r="O2610" s="186"/>
      <c r="P2610" s="186"/>
      <c r="Q2610" s="182"/>
      <c r="R2610" s="182"/>
      <c r="S2610" s="182"/>
      <c r="T2610" s="186"/>
      <c r="U2610" s="186"/>
    </row>
    <row r="2611" spans="2:21" x14ac:dyDescent="0.2">
      <c r="B2611" s="182"/>
      <c r="C2611" s="182"/>
      <c r="D2611" s="182"/>
      <c r="E2611" s="182"/>
      <c r="F2611" s="182"/>
      <c r="I2611" s="40"/>
      <c r="J2611" s="186"/>
      <c r="K2611" s="186"/>
      <c r="L2611" s="186"/>
      <c r="M2611" s="186"/>
      <c r="N2611" s="186"/>
      <c r="O2611" s="186"/>
      <c r="P2611" s="186"/>
      <c r="Q2611" s="182"/>
      <c r="R2611" s="182"/>
      <c r="S2611" s="182"/>
      <c r="T2611" s="186"/>
      <c r="U2611" s="186"/>
    </row>
    <row r="2612" spans="2:21" x14ac:dyDescent="0.2">
      <c r="B2612" s="182"/>
      <c r="C2612" s="182"/>
      <c r="D2612" s="182"/>
      <c r="E2612" s="182"/>
      <c r="F2612" s="182"/>
      <c r="I2612" s="40"/>
      <c r="J2612" s="186"/>
      <c r="K2612" s="186"/>
      <c r="L2612" s="186"/>
      <c r="M2612" s="186"/>
      <c r="N2612" s="186"/>
      <c r="O2612" s="186"/>
      <c r="P2612" s="186"/>
      <c r="Q2612" s="182"/>
      <c r="R2612" s="182"/>
      <c r="S2612" s="182"/>
      <c r="T2612" s="186"/>
      <c r="U2612" s="186"/>
    </row>
    <row r="2613" spans="2:21" x14ac:dyDescent="0.2">
      <c r="B2613" s="182"/>
      <c r="C2613" s="182"/>
      <c r="D2613" s="182"/>
      <c r="E2613" s="182"/>
      <c r="F2613" s="182"/>
      <c r="I2613" s="40"/>
      <c r="J2613" s="186"/>
      <c r="K2613" s="186"/>
      <c r="L2613" s="186"/>
      <c r="M2613" s="186"/>
      <c r="N2613" s="186"/>
      <c r="O2613" s="186"/>
      <c r="P2613" s="186"/>
      <c r="Q2613" s="182"/>
      <c r="R2613" s="182"/>
      <c r="S2613" s="182"/>
      <c r="T2613" s="186"/>
      <c r="U2613" s="186"/>
    </row>
    <row r="2614" spans="2:21" x14ac:dyDescent="0.2">
      <c r="B2614" s="182"/>
      <c r="C2614" s="182"/>
      <c r="D2614" s="182"/>
      <c r="E2614" s="182"/>
      <c r="F2614" s="182"/>
      <c r="I2614" s="40"/>
      <c r="J2614" s="186"/>
      <c r="K2614" s="186"/>
      <c r="L2614" s="186"/>
      <c r="M2614" s="186"/>
      <c r="N2614" s="186"/>
      <c r="O2614" s="186"/>
      <c r="P2614" s="186"/>
      <c r="Q2614" s="182"/>
      <c r="R2614" s="182"/>
      <c r="S2614" s="182"/>
      <c r="T2614" s="186"/>
      <c r="U2614" s="186"/>
    </row>
    <row r="2615" spans="2:21" x14ac:dyDescent="0.2">
      <c r="B2615" s="182"/>
      <c r="C2615" s="182"/>
      <c r="D2615" s="182"/>
      <c r="E2615" s="182"/>
      <c r="F2615" s="182"/>
      <c r="I2615" s="40"/>
      <c r="J2615" s="186"/>
      <c r="K2615" s="186"/>
      <c r="L2615" s="186"/>
      <c r="M2615" s="186"/>
      <c r="N2615" s="186"/>
      <c r="O2615" s="186"/>
      <c r="P2615" s="186"/>
      <c r="Q2615" s="182"/>
      <c r="R2615" s="182"/>
      <c r="S2615" s="182"/>
      <c r="T2615" s="186"/>
      <c r="U2615" s="186"/>
    </row>
    <row r="2616" spans="2:21" x14ac:dyDescent="0.2">
      <c r="B2616" s="182"/>
      <c r="C2616" s="182"/>
      <c r="D2616" s="182"/>
      <c r="E2616" s="182"/>
      <c r="F2616" s="182"/>
      <c r="I2616" s="40"/>
      <c r="J2616" s="186"/>
      <c r="K2616" s="186"/>
      <c r="L2616" s="186"/>
      <c r="M2616" s="186"/>
      <c r="N2616" s="186"/>
      <c r="O2616" s="186"/>
      <c r="P2616" s="186"/>
      <c r="Q2616" s="182"/>
      <c r="R2616" s="182"/>
      <c r="S2616" s="182"/>
      <c r="T2616" s="186"/>
      <c r="U2616" s="186"/>
    </row>
    <row r="2617" spans="2:21" x14ac:dyDescent="0.2">
      <c r="B2617" s="182"/>
      <c r="C2617" s="182"/>
      <c r="D2617" s="182"/>
      <c r="E2617" s="182"/>
      <c r="F2617" s="182"/>
      <c r="I2617" s="40"/>
      <c r="J2617" s="186"/>
      <c r="K2617" s="186"/>
      <c r="L2617" s="186"/>
      <c r="M2617" s="186"/>
      <c r="N2617" s="186"/>
      <c r="O2617" s="186"/>
      <c r="P2617" s="186"/>
      <c r="Q2617" s="182"/>
      <c r="R2617" s="182"/>
      <c r="S2617" s="182"/>
      <c r="T2617" s="186"/>
      <c r="U2617" s="186"/>
    </row>
    <row r="2618" spans="2:21" x14ac:dyDescent="0.2">
      <c r="B2618" s="182"/>
      <c r="C2618" s="182"/>
      <c r="D2618" s="182"/>
      <c r="E2618" s="182"/>
      <c r="F2618" s="182"/>
      <c r="I2618" s="40"/>
      <c r="J2618" s="186"/>
      <c r="K2618" s="186"/>
      <c r="L2618" s="186"/>
      <c r="M2618" s="186"/>
      <c r="N2618" s="186"/>
      <c r="O2618" s="186"/>
      <c r="P2618" s="186"/>
      <c r="Q2618" s="182"/>
      <c r="R2618" s="182"/>
      <c r="S2618" s="182"/>
      <c r="T2618" s="186"/>
      <c r="U2618" s="186"/>
    </row>
    <row r="2619" spans="2:21" x14ac:dyDescent="0.2">
      <c r="B2619" s="182"/>
      <c r="C2619" s="182"/>
      <c r="D2619" s="182"/>
      <c r="E2619" s="182"/>
      <c r="F2619" s="182"/>
      <c r="I2619" s="40"/>
      <c r="J2619" s="186"/>
      <c r="K2619" s="186"/>
      <c r="L2619" s="186"/>
      <c r="M2619" s="186"/>
      <c r="N2619" s="186"/>
      <c r="O2619" s="186"/>
      <c r="P2619" s="186"/>
      <c r="Q2619" s="182"/>
      <c r="R2619" s="182"/>
      <c r="S2619" s="182"/>
      <c r="T2619" s="186"/>
      <c r="U2619" s="186"/>
    </row>
    <row r="2620" spans="2:21" x14ac:dyDescent="0.2">
      <c r="B2620" s="182"/>
      <c r="C2620" s="182"/>
      <c r="D2620" s="182"/>
      <c r="E2620" s="182"/>
      <c r="F2620" s="182"/>
      <c r="I2620" s="40"/>
      <c r="J2620" s="186"/>
      <c r="K2620" s="186"/>
      <c r="L2620" s="186"/>
      <c r="M2620" s="186"/>
      <c r="N2620" s="186"/>
      <c r="O2620" s="186"/>
      <c r="P2620" s="186"/>
      <c r="Q2620" s="182"/>
      <c r="R2620" s="182"/>
      <c r="S2620" s="182"/>
      <c r="T2620" s="186"/>
      <c r="U2620" s="186"/>
    </row>
    <row r="2621" spans="2:21" x14ac:dyDescent="0.2">
      <c r="B2621" s="182"/>
      <c r="C2621" s="182"/>
      <c r="D2621" s="182"/>
      <c r="E2621" s="182"/>
      <c r="F2621" s="182"/>
      <c r="I2621" s="40"/>
      <c r="J2621" s="186"/>
      <c r="K2621" s="186"/>
      <c r="L2621" s="186"/>
      <c r="M2621" s="186"/>
      <c r="N2621" s="186"/>
      <c r="O2621" s="186"/>
      <c r="P2621" s="186"/>
      <c r="Q2621" s="182"/>
      <c r="R2621" s="182"/>
      <c r="S2621" s="182"/>
      <c r="T2621" s="186"/>
      <c r="U2621" s="186"/>
    </row>
  </sheetData>
  <mergeCells count="26">
    <mergeCell ref="D51:G51"/>
    <mergeCell ref="A1:G1"/>
    <mergeCell ref="A48:G48"/>
    <mergeCell ref="A56:G56"/>
    <mergeCell ref="A31:G31"/>
    <mergeCell ref="A47:G47"/>
    <mergeCell ref="A16:G16"/>
    <mergeCell ref="D24:G26"/>
    <mergeCell ref="D33:G34"/>
    <mergeCell ref="D36:G37"/>
    <mergeCell ref="P67:U67"/>
    <mergeCell ref="I67:J67"/>
    <mergeCell ref="D8:G8"/>
    <mergeCell ref="A17:G17"/>
    <mergeCell ref="A9:G9"/>
    <mergeCell ref="D29:G29"/>
    <mergeCell ref="D12:G12"/>
    <mergeCell ref="D20:G22"/>
    <mergeCell ref="D18:G18"/>
    <mergeCell ref="A40:G40"/>
    <mergeCell ref="B67:F67"/>
    <mergeCell ref="G67:H67"/>
    <mergeCell ref="D53:G53"/>
    <mergeCell ref="D50:G50"/>
    <mergeCell ref="A55:G55"/>
    <mergeCell ref="A57:G57"/>
  </mergeCells>
  <pageMargins left="0.7" right="0.7" top="0.75" bottom="0.75" header="0.3" footer="0.3"/>
  <pageSetup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4EA9-FC8A-4569-869C-927E417F0826}">
  <dimension ref="A1:K18"/>
  <sheetViews>
    <sheetView zoomScaleNormal="100" workbookViewId="0">
      <pane ySplit="1" topLeftCell="A2" activePane="bottomLeft" state="frozen"/>
      <selection pane="bottomLeft" activeCell="D8" sqref="D8"/>
    </sheetView>
  </sheetViews>
  <sheetFormatPr defaultRowHeight="14.25" x14ac:dyDescent="0.2"/>
  <cols>
    <col min="1" max="1" width="4.7109375" style="113" customWidth="1"/>
    <col min="2" max="2" width="7.7109375" style="113" customWidth="1"/>
    <col min="3" max="3" width="24.5703125" style="113" customWidth="1"/>
    <col min="4" max="4" width="23.85546875" style="113" customWidth="1"/>
    <col min="5" max="5" width="17.5703125" style="113" customWidth="1"/>
    <col min="6" max="6" width="4.7109375" style="113" customWidth="1"/>
    <col min="7" max="7" width="30.28515625" style="113" customWidth="1"/>
    <col min="8" max="8" width="4.7109375" style="113" customWidth="1"/>
    <col min="9" max="9" width="29.7109375" style="113" customWidth="1"/>
    <col min="10" max="10" width="4.7109375" style="113" customWidth="1"/>
    <col min="11" max="11" width="29.7109375" style="113" customWidth="1"/>
    <col min="12" max="16384" width="9.140625" style="113"/>
  </cols>
  <sheetData>
    <row r="1" spans="1:11" ht="26.25" customHeight="1" x14ac:dyDescent="0.3">
      <c r="A1" s="696" t="s">
        <v>396</v>
      </c>
      <c r="B1" s="697"/>
      <c r="C1" s="697"/>
      <c r="D1" s="697"/>
      <c r="E1" s="697"/>
      <c r="F1" s="697"/>
      <c r="G1" s="697"/>
      <c r="H1" s="697"/>
      <c r="I1" s="697"/>
      <c r="J1" s="697"/>
      <c r="K1" s="698"/>
    </row>
    <row r="2" spans="1:11" ht="15" thickBot="1" x14ac:dyDescent="0.25">
      <c r="A2" s="348"/>
      <c r="B2" s="2"/>
      <c r="C2" s="2"/>
      <c r="D2" s="2"/>
      <c r="E2" s="2"/>
      <c r="F2" s="2"/>
      <c r="G2" s="2"/>
      <c r="H2" s="2"/>
      <c r="I2" s="2"/>
      <c r="J2" s="2"/>
      <c r="K2" s="347"/>
    </row>
    <row r="3" spans="1:11" ht="63.75" thickBot="1" x14ac:dyDescent="0.3">
      <c r="A3" s="348"/>
      <c r="B3" s="2"/>
      <c r="C3" s="365" t="s">
        <v>386</v>
      </c>
      <c r="D3" s="365" t="s">
        <v>387</v>
      </c>
      <c r="E3" s="2"/>
      <c r="F3" s="30"/>
      <c r="G3" s="366" t="s">
        <v>246</v>
      </c>
      <c r="H3" s="2"/>
      <c r="I3" s="103" t="s">
        <v>359</v>
      </c>
      <c r="J3" s="2"/>
      <c r="K3" s="103" t="s">
        <v>360</v>
      </c>
    </row>
    <row r="4" spans="1:11" ht="16.5" thickBot="1" x14ac:dyDescent="0.3">
      <c r="A4" s="348"/>
      <c r="B4" s="2"/>
      <c r="C4" s="367">
        <f>IF(Inputs!B11/Inputs!B10&lt;32,"N/A",D8)</f>
        <v>31.927269853895698</v>
      </c>
      <c r="D4" s="367" t="str">
        <f>IF(Inputs!B11/Inputs!B10&gt;=32,"N/A",E8)</f>
        <v>N/A</v>
      </c>
      <c r="E4" s="2"/>
      <c r="F4" s="30"/>
      <c r="G4" s="368">
        <f>IF(G7="N/A","N/A",SUM(Calculations!I71:I430)/30)</f>
        <v>1854.8985394703186</v>
      </c>
      <c r="H4" s="2"/>
      <c r="I4" s="102">
        <f>IF(D9&gt;D8,D8,IF(Inputs!B11/Inputs!B10&lt;32,"N/A",Output!D9))</f>
        <v>25.85055540588742</v>
      </c>
      <c r="J4" s="2"/>
      <c r="K4" s="102" t="str">
        <f>IF(Inputs!B11/Inputs!B10&gt;=32,"N/A",Output!E9)</f>
        <v>N/A</v>
      </c>
    </row>
    <row r="5" spans="1:11" ht="15" thickBot="1" x14ac:dyDescent="0.25">
      <c r="A5" s="348"/>
      <c r="B5" s="2"/>
      <c r="C5" s="2"/>
      <c r="D5" s="2"/>
      <c r="E5" s="2"/>
      <c r="F5" s="30"/>
      <c r="G5" s="30"/>
      <c r="H5" s="2"/>
      <c r="I5" s="2"/>
      <c r="J5" s="2"/>
      <c r="K5" s="347"/>
    </row>
    <row r="6" spans="1:11" ht="26.25" thickBot="1" x14ac:dyDescent="0.25">
      <c r="A6" s="348"/>
      <c r="B6" s="104" t="s">
        <v>281</v>
      </c>
      <c r="C6" s="105" t="s">
        <v>389</v>
      </c>
      <c r="D6" s="106"/>
      <c r="E6" s="107"/>
      <c r="F6" s="30"/>
      <c r="G6" s="108" t="s">
        <v>546</v>
      </c>
      <c r="H6" s="2"/>
      <c r="I6" s="21"/>
      <c r="J6" s="21"/>
      <c r="K6" s="156"/>
    </row>
    <row r="7" spans="1:11" ht="26.25" thickBot="1" x14ac:dyDescent="0.25">
      <c r="A7" s="348"/>
      <c r="B7" s="352"/>
      <c r="C7" s="358" t="s">
        <v>25</v>
      </c>
      <c r="D7" s="355" t="s">
        <v>58</v>
      </c>
      <c r="E7" s="154" t="s">
        <v>245</v>
      </c>
      <c r="F7" s="30"/>
      <c r="G7" s="155">
        <f>IF(SUM(Calculations!R71:R430)&lt;0,"N/A",SUM(Calculations!R71:R430)/SUM(Calculations!O71:O430))</f>
        <v>4.5305857928483908</v>
      </c>
      <c r="H7" s="2"/>
      <c r="I7" s="21"/>
      <c r="J7" s="21"/>
      <c r="K7" s="156"/>
    </row>
    <row r="8" spans="1:11" ht="15" thickBot="1" x14ac:dyDescent="0.25">
      <c r="A8" s="348"/>
      <c r="B8" s="353">
        <v>2022</v>
      </c>
      <c r="C8" s="359">
        <f>Calculations!B10</f>
        <v>10171</v>
      </c>
      <c r="D8" s="356">
        <f>IF(Inputs!B11/Inputs!B10&lt;32,"N/A",C8*325851/Calculations!$B$14/365)</f>
        <v>31.927269853895698</v>
      </c>
      <c r="E8" s="159" t="str">
        <f>IF(Inputs!B11/Inputs!B10&gt;=32,"N/A",C8*325851/Inputs!$B$10/365)</f>
        <v>N/A</v>
      </c>
      <c r="F8" s="30"/>
      <c r="G8" s="54"/>
      <c r="H8" s="2"/>
      <c r="I8" s="21"/>
      <c r="J8" s="21"/>
      <c r="K8" s="156"/>
    </row>
    <row r="9" spans="1:11" ht="17.25" customHeight="1" thickBot="1" x14ac:dyDescent="0.25">
      <c r="A9" s="348"/>
      <c r="B9" s="354">
        <v>2028</v>
      </c>
      <c r="C9" s="360">
        <f>IF((Calculations!$B$10*(1-Calculations!$B$32)+SUM(Calculations!E131:E142))&gt;C8,C8,IF(SUM(Calculations!T71:T430)&lt;0,Output!$C$8,Calculations!$B$10*(1-Calculations!$B$32)+SUM(Calculations!E131:E142)))</f>
        <v>8235.1544694072636</v>
      </c>
      <c r="D9" s="357">
        <f>IF(Inputs!B11/Inputs!B10&lt;32,"N/A",C9*325851/Calculations!$B$14/365)</f>
        <v>25.85055540588742</v>
      </c>
      <c r="E9" s="158" t="str">
        <f>IF(Inputs!B11/Inputs!B10&gt;=32,"N/A",C9*325851/Inputs!$B$10/365)</f>
        <v>N/A</v>
      </c>
      <c r="F9" s="30"/>
      <c r="G9" s="108" t="s">
        <v>547</v>
      </c>
      <c r="H9" s="2"/>
      <c r="I9" s="2"/>
      <c r="J9" s="2"/>
      <c r="K9" s="347"/>
    </row>
    <row r="10" spans="1:11" ht="15" thickBot="1" x14ac:dyDescent="0.25">
      <c r="A10" s="348"/>
      <c r="B10" s="361"/>
      <c r="C10" s="362"/>
      <c r="D10" s="436"/>
      <c r="E10" s="363"/>
      <c r="F10" s="30"/>
      <c r="G10" s="109">
        <f>IF(SUM(Calculations!R71:R310)&lt;0,"N/A",SUM(Calculations!R71:R310)/SUM(Calculations!O71:O310))</f>
        <v>3.8205221592606073</v>
      </c>
      <c r="H10" s="2"/>
      <c r="I10" s="2"/>
      <c r="J10" s="2"/>
      <c r="K10" s="347"/>
    </row>
    <row r="11" spans="1:11" ht="15" thickBot="1" x14ac:dyDescent="0.25">
      <c r="A11" s="348"/>
      <c r="B11" s="2"/>
      <c r="C11" s="2"/>
      <c r="D11" s="2"/>
      <c r="E11" s="2"/>
      <c r="F11" s="30"/>
      <c r="G11" s="54"/>
      <c r="H11" s="2"/>
      <c r="I11" s="2"/>
      <c r="J11" s="2"/>
      <c r="K11" s="347"/>
    </row>
    <row r="12" spans="1:11" ht="26.25" thickBot="1" x14ac:dyDescent="0.25">
      <c r="A12" s="348"/>
      <c r="B12" s="2"/>
      <c r="C12" s="2"/>
      <c r="D12" s="2"/>
      <c r="E12" s="2"/>
      <c r="F12" s="30"/>
      <c r="G12" s="108" t="s">
        <v>548</v>
      </c>
      <c r="H12" s="2"/>
      <c r="I12" s="2"/>
      <c r="J12" s="2"/>
      <c r="K12" s="347"/>
    </row>
    <row r="13" spans="1:11" ht="15" thickBot="1" x14ac:dyDescent="0.25">
      <c r="A13" s="348"/>
      <c r="B13" s="2"/>
      <c r="C13" s="2"/>
      <c r="D13" s="2"/>
      <c r="E13" s="2"/>
      <c r="F13" s="30"/>
      <c r="G13" s="109">
        <f>IF(SUM(Calculations!R71:R190)&lt;0,"N/A",SUM(Calculations!R71:R190)/SUM(Calculations!O71:O190))</f>
        <v>2.7976313828059518</v>
      </c>
      <c r="H13" s="2"/>
      <c r="I13" s="2"/>
      <c r="J13" s="2"/>
      <c r="K13" s="347"/>
    </row>
    <row r="14" spans="1:11" ht="15" thickBot="1" x14ac:dyDescent="0.25">
      <c r="A14" s="348"/>
      <c r="B14" s="2"/>
      <c r="C14" s="2"/>
      <c r="D14" s="2"/>
      <c r="E14" s="2"/>
      <c r="F14" s="30"/>
      <c r="G14" s="54"/>
      <c r="H14" s="2"/>
      <c r="I14" s="2"/>
      <c r="J14" s="2"/>
      <c r="K14" s="347"/>
    </row>
    <row r="15" spans="1:11" ht="26.25" thickBot="1" x14ac:dyDescent="0.25">
      <c r="A15" s="348"/>
      <c r="B15" s="2"/>
      <c r="C15" s="2"/>
      <c r="D15" s="2"/>
      <c r="E15" s="2"/>
      <c r="F15" s="30"/>
      <c r="G15" s="627" t="s">
        <v>549</v>
      </c>
      <c r="H15" s="2"/>
      <c r="I15" s="2"/>
      <c r="J15" s="2"/>
      <c r="K15" s="347"/>
    </row>
    <row r="16" spans="1:11" ht="15" thickBot="1" x14ac:dyDescent="0.25">
      <c r="A16" s="348"/>
      <c r="B16" s="2"/>
      <c r="C16" s="2"/>
      <c r="D16" s="2"/>
      <c r="E16" s="2"/>
      <c r="F16" s="30"/>
      <c r="G16" s="109">
        <f>IF(SUM(Calculations!R71:R142)&lt;0,"N/A",SUM(Calculations!R71:R142)/SUM(Calculations!O71:O142))</f>
        <v>2.072408294902619</v>
      </c>
      <c r="H16" s="2"/>
      <c r="I16" s="2"/>
      <c r="J16" s="2"/>
      <c r="K16" s="347"/>
    </row>
    <row r="17" spans="1:11" ht="15" thickBot="1" x14ac:dyDescent="0.25">
      <c r="A17" s="364"/>
      <c r="B17" s="350"/>
      <c r="C17" s="350"/>
      <c r="D17" s="350"/>
      <c r="E17" s="350"/>
      <c r="F17" s="349"/>
      <c r="G17" s="157"/>
      <c r="H17" s="350"/>
      <c r="I17" s="350"/>
      <c r="J17" s="350"/>
      <c r="K17" s="351"/>
    </row>
    <row r="18" spans="1:11" x14ac:dyDescent="0.2">
      <c r="F18" s="120"/>
      <c r="G18" s="120"/>
    </row>
  </sheetData>
  <mergeCells count="1">
    <mergeCell ref="A1:K1"/>
  </mergeCells>
  <pageMargins left="0.7" right="0.7" top="0.75" bottom="0.75" header="0.3" footer="0.3"/>
  <pageSetup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237"/>
  <sheetViews>
    <sheetView topLeftCell="A4" zoomScaleNormal="100" workbookViewId="0">
      <selection activeCell="M22" sqref="M22"/>
    </sheetView>
  </sheetViews>
  <sheetFormatPr defaultRowHeight="12.75" x14ac:dyDescent="0.2"/>
  <cols>
    <col min="1" max="1" width="39.42578125" style="263" customWidth="1"/>
    <col min="2" max="13" width="9.140625" style="120"/>
    <col min="14" max="15" width="9.140625" style="120" customWidth="1"/>
    <col min="16" max="16" width="9.28515625" style="30" customWidth="1"/>
    <col min="17" max="17" width="36.5703125" style="120" customWidth="1"/>
    <col min="18" max="16384" width="9.140625" style="120"/>
  </cols>
  <sheetData>
    <row r="1" spans="1:20" s="113" customFormat="1" ht="24.75" customHeight="1" thickBot="1" x14ac:dyDescent="0.25">
      <c r="A1" s="699" t="s">
        <v>534</v>
      </c>
      <c r="B1" s="700"/>
      <c r="C1" s="700"/>
      <c r="D1" s="700"/>
      <c r="E1" s="700"/>
      <c r="F1" s="700"/>
      <c r="G1" s="700"/>
      <c r="H1" s="700"/>
      <c r="I1" s="700"/>
      <c r="J1" s="700"/>
      <c r="K1" s="700"/>
      <c r="L1" s="700"/>
      <c r="M1" s="700"/>
      <c r="N1" s="700"/>
      <c r="O1" s="700"/>
      <c r="P1" s="700"/>
      <c r="Q1" s="701"/>
      <c r="R1" s="163"/>
      <c r="S1" s="164"/>
      <c r="T1" s="164"/>
    </row>
    <row r="2" spans="1:20" s="113" customFormat="1" ht="24.75" customHeight="1" x14ac:dyDescent="0.2">
      <c r="A2" s="110" t="s">
        <v>254</v>
      </c>
      <c r="B2" s="702" t="s">
        <v>255</v>
      </c>
      <c r="C2" s="703"/>
      <c r="D2" s="703"/>
      <c r="E2" s="703"/>
      <c r="F2" s="703"/>
      <c r="G2" s="703"/>
      <c r="H2" s="703"/>
      <c r="I2" s="703"/>
      <c r="J2" s="703"/>
      <c r="K2" s="703"/>
      <c r="L2" s="703"/>
      <c r="M2" s="703"/>
      <c r="N2" s="703"/>
      <c r="O2" s="703"/>
      <c r="P2" s="704"/>
      <c r="Q2" s="279" t="s">
        <v>256</v>
      </c>
      <c r="R2" s="164"/>
      <c r="S2" s="164"/>
      <c r="T2" s="164"/>
    </row>
    <row r="3" spans="1:20" s="113" customFormat="1" ht="24.75" customHeight="1" x14ac:dyDescent="0.2">
      <c r="A3" s="111" t="s">
        <v>257</v>
      </c>
      <c r="B3" s="112"/>
      <c r="C3" s="112"/>
      <c r="D3" s="112"/>
      <c r="E3" s="112"/>
      <c r="F3" s="112"/>
      <c r="G3" s="112"/>
      <c r="H3" s="112"/>
      <c r="I3" s="112"/>
      <c r="J3" s="112"/>
      <c r="K3" s="112"/>
      <c r="L3" s="112"/>
      <c r="M3" s="112"/>
      <c r="N3" s="112"/>
      <c r="O3" s="112"/>
      <c r="P3" s="112"/>
    </row>
    <row r="4" spans="1:20" s="160" customFormat="1" ht="76.5" customHeight="1" x14ac:dyDescent="0.25">
      <c r="A4" s="114" t="s">
        <v>556</v>
      </c>
      <c r="B4" s="115"/>
      <c r="C4" s="116"/>
      <c r="D4" s="116"/>
      <c r="E4" s="116"/>
      <c r="F4" s="116"/>
      <c r="G4" s="116"/>
      <c r="H4" s="116"/>
      <c r="I4" s="116"/>
      <c r="J4" s="116"/>
      <c r="K4" s="116"/>
      <c r="L4" s="116"/>
      <c r="M4" s="116"/>
      <c r="N4" s="116"/>
      <c r="O4" s="116"/>
      <c r="P4" s="117"/>
      <c r="Q4" s="117"/>
    </row>
    <row r="5" spans="1:20" ht="87" customHeight="1" x14ac:dyDescent="0.2">
      <c r="A5" s="118" t="s">
        <v>557</v>
      </c>
      <c r="B5" s="119"/>
      <c r="P5" s="121"/>
      <c r="Q5" s="121" t="s">
        <v>258</v>
      </c>
    </row>
    <row r="6" spans="1:20" ht="33.75" customHeight="1" x14ac:dyDescent="0.2">
      <c r="A6" s="114" t="s">
        <v>558</v>
      </c>
      <c r="B6" s="115"/>
      <c r="C6" s="116"/>
      <c r="D6" s="116"/>
      <c r="E6" s="116"/>
      <c r="F6" s="116"/>
      <c r="G6" s="116"/>
      <c r="H6" s="116"/>
      <c r="I6" s="116"/>
      <c r="J6" s="116"/>
      <c r="K6" s="116"/>
      <c r="L6" s="116"/>
      <c r="M6" s="116"/>
      <c r="N6" s="116"/>
      <c r="O6" s="116"/>
      <c r="P6" s="117"/>
      <c r="Q6" s="117" t="s">
        <v>259</v>
      </c>
    </row>
    <row r="7" spans="1:20" ht="42" customHeight="1" x14ac:dyDescent="0.2">
      <c r="A7" s="118" t="s">
        <v>51</v>
      </c>
      <c r="B7" s="119"/>
      <c r="P7" s="121"/>
      <c r="Q7" s="121"/>
    </row>
    <row r="8" spans="1:20" ht="36.75" customHeight="1" x14ac:dyDescent="0.2">
      <c r="A8" s="114" t="s">
        <v>260</v>
      </c>
      <c r="B8" s="115"/>
      <c r="C8" s="116"/>
      <c r="D8" s="116"/>
      <c r="E8" s="116"/>
      <c r="F8" s="116"/>
      <c r="G8" s="116"/>
      <c r="H8" s="116"/>
      <c r="I8" s="116"/>
      <c r="J8" s="116"/>
      <c r="K8" s="116"/>
      <c r="L8" s="116"/>
      <c r="M8" s="116"/>
      <c r="N8" s="116"/>
      <c r="O8" s="116"/>
      <c r="P8" s="117"/>
      <c r="Q8" s="117"/>
    </row>
    <row r="9" spans="1:20" ht="33" customHeight="1" x14ac:dyDescent="0.2">
      <c r="A9" s="118" t="s">
        <v>329</v>
      </c>
      <c r="B9" s="119"/>
      <c r="P9" s="121"/>
      <c r="Q9" s="121"/>
    </row>
    <row r="10" spans="1:20" ht="35.25" customHeight="1" x14ac:dyDescent="0.2">
      <c r="A10" s="114" t="s">
        <v>594</v>
      </c>
      <c r="B10" s="115"/>
      <c r="C10" s="116"/>
      <c r="D10" s="116"/>
      <c r="E10" s="116"/>
      <c r="F10" s="116"/>
      <c r="G10" s="116"/>
      <c r="H10" s="116"/>
      <c r="I10" s="116"/>
      <c r="J10" s="116"/>
      <c r="K10" s="116"/>
      <c r="L10" s="116"/>
      <c r="M10" s="116"/>
      <c r="N10" s="116"/>
      <c r="O10" s="116"/>
      <c r="P10" s="117"/>
      <c r="Q10" s="117" t="s">
        <v>388</v>
      </c>
    </row>
    <row r="11" spans="1:20" ht="54.75" customHeight="1" x14ac:dyDescent="0.2">
      <c r="A11" s="118" t="s">
        <v>261</v>
      </c>
      <c r="B11" s="119"/>
      <c r="P11" s="121"/>
      <c r="Q11" s="117" t="s">
        <v>388</v>
      </c>
    </row>
    <row r="12" spans="1:20" ht="96" customHeight="1" x14ac:dyDescent="0.2">
      <c r="A12" s="114" t="s">
        <v>262</v>
      </c>
      <c r="B12" s="115"/>
      <c r="C12" s="116"/>
      <c r="D12" s="116"/>
      <c r="E12" s="116"/>
      <c r="F12" s="116"/>
      <c r="G12" s="116"/>
      <c r="H12" s="116"/>
      <c r="I12" s="116"/>
      <c r="J12" s="116"/>
      <c r="K12" s="116"/>
      <c r="L12" s="116"/>
      <c r="M12" s="116"/>
      <c r="N12" s="116"/>
      <c r="O12" s="116"/>
      <c r="P12" s="117"/>
      <c r="Q12" s="117" t="s">
        <v>388</v>
      </c>
    </row>
    <row r="13" spans="1:20" ht="64.5" customHeight="1" x14ac:dyDescent="0.2">
      <c r="A13" s="118" t="s">
        <v>263</v>
      </c>
      <c r="B13" s="119"/>
      <c r="P13" s="121"/>
      <c r="Q13" s="121"/>
    </row>
    <row r="14" spans="1:20" ht="57.75" customHeight="1" x14ac:dyDescent="0.2">
      <c r="A14" s="114" t="s">
        <v>264</v>
      </c>
      <c r="B14" s="115"/>
      <c r="C14" s="116"/>
      <c r="D14" s="116"/>
      <c r="E14" s="116"/>
      <c r="F14" s="116"/>
      <c r="G14" s="116"/>
      <c r="H14" s="116"/>
      <c r="I14" s="116"/>
      <c r="J14" s="116"/>
      <c r="K14" s="116"/>
      <c r="L14" s="116"/>
      <c r="M14" s="116"/>
      <c r="N14" s="116"/>
      <c r="O14" s="116"/>
      <c r="P14" s="117"/>
      <c r="Q14" s="117" t="s">
        <v>388</v>
      </c>
    </row>
    <row r="15" spans="1:20" ht="33" customHeight="1" x14ac:dyDescent="0.2">
      <c r="A15" s="118" t="s">
        <v>265</v>
      </c>
      <c r="B15" s="119" t="s">
        <v>266</v>
      </c>
      <c r="P15" s="121"/>
      <c r="Q15" s="121"/>
    </row>
    <row r="16" spans="1:20" ht="126.75" customHeight="1" x14ac:dyDescent="0.2">
      <c r="A16" s="114" t="s">
        <v>267</v>
      </c>
      <c r="B16" s="115"/>
      <c r="C16" s="116"/>
      <c r="D16" s="116"/>
      <c r="E16" s="116"/>
      <c r="F16" s="116"/>
      <c r="G16" s="116"/>
      <c r="H16" s="116"/>
      <c r="I16" s="116"/>
      <c r="J16" s="116"/>
      <c r="K16" s="116"/>
      <c r="L16" s="116"/>
      <c r="M16" s="116"/>
      <c r="N16" s="116"/>
      <c r="O16" s="116"/>
      <c r="P16" s="117"/>
      <c r="Q16" s="117" t="s">
        <v>388</v>
      </c>
    </row>
    <row r="17" spans="1:17" ht="37.5" customHeight="1" x14ac:dyDescent="0.2">
      <c r="A17" s="118" t="s">
        <v>268</v>
      </c>
      <c r="B17" s="119"/>
      <c r="H17" s="160" t="s">
        <v>529</v>
      </c>
      <c r="P17" s="121"/>
      <c r="Q17" s="121"/>
    </row>
    <row r="18" spans="1:17" ht="34.5" customHeight="1" x14ac:dyDescent="0.2">
      <c r="A18" s="114" t="s">
        <v>269</v>
      </c>
      <c r="B18" s="115"/>
      <c r="C18" s="116"/>
      <c r="D18" s="116"/>
      <c r="E18" s="116"/>
      <c r="F18" s="116"/>
      <c r="G18" s="116"/>
      <c r="H18" s="116"/>
      <c r="I18" s="116"/>
      <c r="J18" s="116"/>
      <c r="K18" s="116"/>
      <c r="L18" s="116"/>
      <c r="M18" s="116"/>
      <c r="N18" s="116"/>
      <c r="O18" s="116"/>
      <c r="P18" s="117"/>
      <c r="Q18" s="117"/>
    </row>
    <row r="19" spans="1:17" ht="45.75" customHeight="1" x14ac:dyDescent="0.2">
      <c r="A19" s="118" t="s">
        <v>270</v>
      </c>
      <c r="B19" s="119"/>
      <c r="P19" s="121"/>
      <c r="Q19" s="121"/>
    </row>
    <row r="20" spans="1:17" ht="30.75" customHeight="1" x14ac:dyDescent="0.2">
      <c r="A20" s="114" t="s">
        <v>271</v>
      </c>
      <c r="B20" s="115" t="s">
        <v>597</v>
      </c>
      <c r="C20" s="116"/>
      <c r="D20" s="116"/>
      <c r="E20" s="116"/>
      <c r="F20" s="116"/>
      <c r="G20" s="116"/>
      <c r="H20" s="116"/>
      <c r="I20" s="116"/>
      <c r="J20" s="116"/>
      <c r="K20" s="116"/>
      <c r="L20" s="116"/>
      <c r="M20" s="116"/>
      <c r="N20" s="116"/>
      <c r="O20" s="116"/>
      <c r="P20" s="117"/>
      <c r="Q20" s="117"/>
    </row>
    <row r="21" spans="1:17" ht="57.75" customHeight="1" x14ac:dyDescent="0.2">
      <c r="A21" s="118" t="s">
        <v>272</v>
      </c>
      <c r="B21" s="119"/>
      <c r="P21" s="121"/>
      <c r="Q21" s="121"/>
    </row>
    <row r="22" spans="1:17" ht="55.5" customHeight="1" x14ac:dyDescent="0.2">
      <c r="A22" s="114" t="s">
        <v>273</v>
      </c>
      <c r="B22" s="115"/>
      <c r="C22" s="116"/>
      <c r="D22" s="116"/>
      <c r="E22" s="116"/>
      <c r="F22" s="116"/>
      <c r="G22" s="116"/>
      <c r="H22" s="116"/>
      <c r="I22" s="116"/>
      <c r="J22" s="116"/>
      <c r="K22" s="116"/>
      <c r="L22" s="116"/>
      <c r="M22" s="116"/>
      <c r="N22" s="116"/>
      <c r="O22" s="116"/>
      <c r="P22" s="117"/>
      <c r="Q22" s="117"/>
    </row>
    <row r="23" spans="1:17" ht="30.75" customHeight="1" x14ac:dyDescent="0.2">
      <c r="A23" s="118" t="s">
        <v>274</v>
      </c>
      <c r="B23" s="119"/>
      <c r="P23" s="121"/>
      <c r="Q23" s="121"/>
    </row>
    <row r="24" spans="1:17" ht="30.75" customHeight="1" x14ac:dyDescent="0.2">
      <c r="A24" s="114" t="s">
        <v>275</v>
      </c>
      <c r="B24" s="115"/>
      <c r="C24" s="116"/>
      <c r="D24" s="116"/>
      <c r="E24" s="116"/>
      <c r="F24" s="116"/>
      <c r="G24" s="116"/>
      <c r="H24" s="116"/>
      <c r="I24" s="116"/>
      <c r="J24" s="116"/>
      <c r="K24" s="116"/>
      <c r="L24" s="116"/>
      <c r="M24" s="116"/>
      <c r="N24" s="116"/>
      <c r="O24" s="116"/>
      <c r="P24" s="117"/>
      <c r="Q24" s="117"/>
    </row>
    <row r="25" spans="1:17" ht="50.25" customHeight="1" x14ac:dyDescent="0.2">
      <c r="A25" s="118" t="s">
        <v>276</v>
      </c>
      <c r="B25" s="119"/>
      <c r="P25" s="121"/>
      <c r="Q25" s="121"/>
    </row>
    <row r="26" spans="1:17" x14ac:dyDescent="0.2">
      <c r="A26" s="122"/>
      <c r="B26" s="119"/>
      <c r="P26" s="121"/>
      <c r="Q26" s="121"/>
    </row>
    <row r="27" spans="1:17" ht="24.75" customHeight="1" x14ac:dyDescent="0.2">
      <c r="A27" s="123" t="s">
        <v>277</v>
      </c>
      <c r="B27" s="115"/>
      <c r="C27" s="116"/>
      <c r="D27" s="116"/>
      <c r="E27" s="116"/>
      <c r="F27" s="116"/>
      <c r="G27" s="116"/>
      <c r="H27" s="116"/>
      <c r="I27" s="116"/>
      <c r="J27" s="116"/>
      <c r="K27" s="116"/>
      <c r="L27" s="116"/>
      <c r="M27" s="116"/>
      <c r="N27" s="116"/>
      <c r="O27" s="116"/>
      <c r="P27" s="117"/>
      <c r="Q27" s="117"/>
    </row>
    <row r="28" spans="1:17" ht="36" customHeight="1" x14ac:dyDescent="0.2">
      <c r="A28" s="162" t="s">
        <v>278</v>
      </c>
      <c r="B28" s="272"/>
      <c r="C28" s="273"/>
      <c r="D28" s="273"/>
      <c r="E28" s="273"/>
      <c r="F28" s="273"/>
      <c r="G28" s="273"/>
      <c r="H28" s="273"/>
      <c r="I28" s="273"/>
      <c r="J28" s="273"/>
      <c r="K28" s="273"/>
      <c r="L28" s="273"/>
      <c r="M28" s="273"/>
      <c r="N28" s="273"/>
      <c r="O28" s="273"/>
      <c r="P28" s="274"/>
      <c r="Q28" s="274"/>
    </row>
    <row r="29" spans="1:17" s="30" customFormat="1" x14ac:dyDescent="0.2">
      <c r="A29" s="263"/>
      <c r="B29" s="263"/>
      <c r="C29" s="263"/>
      <c r="D29" s="263"/>
      <c r="E29" s="263"/>
      <c r="F29" s="263"/>
      <c r="G29" s="263"/>
      <c r="H29" s="263"/>
      <c r="I29" s="263"/>
      <c r="J29" s="263"/>
      <c r="K29" s="263"/>
      <c r="L29" s="263"/>
      <c r="M29" s="263"/>
      <c r="N29" s="263"/>
      <c r="O29" s="263"/>
      <c r="P29" s="263"/>
      <c r="Q29" s="263"/>
    </row>
    <row r="30" spans="1:17" s="30" customFormat="1" x14ac:dyDescent="0.2">
      <c r="A30" s="263"/>
    </row>
    <row r="31" spans="1:17" s="30" customFormat="1" x14ac:dyDescent="0.2">
      <c r="A31" s="263"/>
      <c r="B31" s="263"/>
      <c r="C31" s="263"/>
      <c r="D31" s="263"/>
      <c r="E31" s="263"/>
      <c r="F31" s="263"/>
      <c r="G31" s="263"/>
      <c r="H31" s="263"/>
      <c r="I31" s="263"/>
      <c r="J31" s="263"/>
      <c r="K31" s="263"/>
      <c r="L31" s="263"/>
      <c r="M31" s="263"/>
      <c r="N31" s="263"/>
      <c r="O31" s="263"/>
      <c r="P31" s="263"/>
      <c r="Q31" s="263"/>
    </row>
    <row r="32" spans="1:17" s="30" customFormat="1" x14ac:dyDescent="0.2">
      <c r="A32" s="263"/>
    </row>
    <row r="33" spans="1:17" s="30" customFormat="1" x14ac:dyDescent="0.2">
      <c r="A33" s="263"/>
      <c r="B33" s="263"/>
      <c r="C33" s="263"/>
      <c r="D33" s="263"/>
      <c r="E33" s="263"/>
      <c r="F33" s="263"/>
      <c r="G33" s="263"/>
      <c r="H33" s="263"/>
      <c r="I33" s="263"/>
      <c r="J33" s="263"/>
      <c r="K33" s="263"/>
      <c r="L33" s="263"/>
      <c r="M33" s="263"/>
      <c r="N33" s="263"/>
      <c r="O33" s="263"/>
      <c r="P33" s="263"/>
      <c r="Q33" s="263"/>
    </row>
    <row r="34" spans="1:17" x14ac:dyDescent="0.2">
      <c r="B34" s="263"/>
      <c r="C34" s="160"/>
      <c r="D34" s="160"/>
      <c r="E34" s="160"/>
      <c r="F34" s="160"/>
      <c r="G34" s="160"/>
      <c r="H34" s="160"/>
      <c r="I34" s="160"/>
      <c r="J34" s="160"/>
      <c r="K34" s="160"/>
      <c r="L34" s="160"/>
      <c r="M34" s="160"/>
      <c r="N34" s="160"/>
      <c r="O34" s="160"/>
      <c r="P34" s="263"/>
      <c r="Q34" s="161"/>
    </row>
    <row r="35" spans="1:17" ht="15.75" customHeight="1" x14ac:dyDescent="0.2">
      <c r="A35" s="264"/>
      <c r="B35" s="30"/>
      <c r="Q35" s="121"/>
    </row>
    <row r="36" spans="1:17" ht="15" customHeight="1" x14ac:dyDescent="0.2">
      <c r="A36" s="265"/>
      <c r="B36" s="263"/>
      <c r="C36" s="160"/>
      <c r="D36" s="160"/>
      <c r="E36" s="160"/>
      <c r="F36" s="160"/>
      <c r="G36" s="160"/>
      <c r="H36" s="160"/>
      <c r="I36" s="160"/>
      <c r="J36" s="160"/>
      <c r="K36" s="160"/>
      <c r="L36" s="160"/>
      <c r="M36" s="160"/>
      <c r="N36" s="160"/>
      <c r="O36" s="160"/>
      <c r="P36" s="263"/>
      <c r="Q36" s="161"/>
    </row>
    <row r="37" spans="1:17" ht="15" customHeight="1" x14ac:dyDescent="0.2">
      <c r="A37" s="266"/>
      <c r="B37" s="30"/>
      <c r="Q37" s="121"/>
    </row>
    <row r="38" spans="1:17" ht="15" customHeight="1" x14ac:dyDescent="0.2">
      <c r="A38" s="266"/>
      <c r="B38" s="263"/>
      <c r="C38" s="160"/>
      <c r="D38" s="160"/>
      <c r="E38" s="160"/>
      <c r="F38" s="160"/>
      <c r="G38" s="160"/>
      <c r="H38" s="160"/>
      <c r="I38" s="160"/>
      <c r="J38" s="160"/>
      <c r="K38" s="160"/>
      <c r="L38" s="160"/>
      <c r="M38" s="160"/>
      <c r="N38" s="160"/>
      <c r="O38" s="160"/>
      <c r="P38" s="263"/>
      <c r="Q38" s="161"/>
    </row>
    <row r="39" spans="1:17" ht="15" customHeight="1" x14ac:dyDescent="0.2">
      <c r="A39" s="266"/>
      <c r="B39" s="30"/>
      <c r="Q39" s="121"/>
    </row>
    <row r="40" spans="1:17" ht="15.75" customHeight="1" x14ac:dyDescent="0.2">
      <c r="A40" s="267"/>
      <c r="B40" s="263"/>
      <c r="C40" s="160"/>
      <c r="D40" s="160"/>
      <c r="E40" s="160"/>
      <c r="F40" s="160"/>
      <c r="G40" s="160"/>
      <c r="H40" s="160"/>
      <c r="I40" s="160"/>
      <c r="J40" s="160"/>
      <c r="K40" s="160"/>
      <c r="L40" s="160"/>
      <c r="M40" s="160"/>
      <c r="N40" s="160"/>
      <c r="O40" s="160"/>
      <c r="P40" s="263"/>
      <c r="Q40" s="161"/>
    </row>
    <row r="41" spans="1:17" ht="15" customHeight="1" x14ac:dyDescent="0.25">
      <c r="A41" s="268"/>
      <c r="B41" s="30"/>
      <c r="Q41" s="121"/>
    </row>
    <row r="42" spans="1:17" ht="15" customHeight="1" x14ac:dyDescent="0.2">
      <c r="A42" s="266"/>
      <c r="B42" s="263"/>
      <c r="C42" s="160"/>
      <c r="D42" s="160"/>
      <c r="E42" s="160"/>
      <c r="F42" s="160"/>
      <c r="G42" s="160"/>
      <c r="H42" s="160"/>
      <c r="I42" s="160"/>
      <c r="J42" s="160"/>
      <c r="K42" s="160"/>
      <c r="L42" s="160"/>
      <c r="M42" s="160"/>
      <c r="N42" s="160"/>
      <c r="O42" s="160"/>
      <c r="P42" s="263"/>
      <c r="Q42" s="161"/>
    </row>
    <row r="43" spans="1:17" ht="15" customHeight="1" x14ac:dyDescent="0.2">
      <c r="A43" s="266"/>
      <c r="B43" s="30"/>
      <c r="Q43" s="121"/>
    </row>
    <row r="44" spans="1:17" ht="15" customHeight="1" x14ac:dyDescent="0.25">
      <c r="A44" s="268"/>
      <c r="B44" s="263"/>
      <c r="C44" s="160"/>
      <c r="D44" s="160"/>
      <c r="E44" s="160"/>
      <c r="F44" s="160"/>
      <c r="G44" s="160"/>
      <c r="H44" s="160"/>
      <c r="I44" s="160"/>
      <c r="J44" s="160"/>
      <c r="K44" s="160"/>
      <c r="L44" s="160"/>
      <c r="M44" s="160"/>
      <c r="N44" s="160"/>
      <c r="O44" s="160"/>
      <c r="P44" s="263"/>
      <c r="Q44" s="161"/>
    </row>
    <row r="45" spans="1:17" ht="15" customHeight="1" x14ac:dyDescent="0.2">
      <c r="A45" s="266"/>
      <c r="B45" s="30"/>
      <c r="Q45" s="121"/>
    </row>
    <row r="46" spans="1:17" ht="15.75" customHeight="1" x14ac:dyDescent="0.2">
      <c r="A46" s="269"/>
      <c r="B46" s="263"/>
      <c r="C46" s="160"/>
      <c r="D46" s="160"/>
      <c r="E46" s="160"/>
      <c r="F46" s="160"/>
      <c r="G46" s="160"/>
      <c r="H46" s="160"/>
      <c r="I46" s="160"/>
      <c r="J46" s="160"/>
      <c r="K46" s="160"/>
      <c r="L46" s="160"/>
      <c r="M46" s="160"/>
      <c r="N46" s="160"/>
      <c r="O46" s="160"/>
      <c r="P46" s="263"/>
      <c r="Q46" s="161"/>
    </row>
    <row r="47" spans="1:17" ht="15.75" customHeight="1" x14ac:dyDescent="0.2">
      <c r="A47" s="269"/>
      <c r="B47" s="30"/>
      <c r="Q47" s="121"/>
    </row>
    <row r="48" spans="1:17" ht="15.75" customHeight="1" x14ac:dyDescent="0.2">
      <c r="A48" s="269"/>
      <c r="B48" s="263"/>
      <c r="C48" s="160"/>
      <c r="D48" s="160"/>
      <c r="E48" s="160"/>
      <c r="F48" s="160"/>
      <c r="G48" s="160"/>
      <c r="H48" s="160"/>
      <c r="I48" s="160"/>
      <c r="J48" s="160"/>
      <c r="K48" s="160"/>
      <c r="L48" s="160"/>
      <c r="M48" s="160"/>
      <c r="N48" s="160"/>
      <c r="O48" s="160"/>
      <c r="P48" s="263"/>
      <c r="Q48" s="161"/>
    </row>
    <row r="49" spans="1:17" ht="15.75" customHeight="1" x14ac:dyDescent="0.2">
      <c r="A49" s="270"/>
      <c r="B49" s="30"/>
      <c r="Q49" s="121"/>
    </row>
    <row r="50" spans="1:17" ht="15.75" customHeight="1" x14ac:dyDescent="0.2">
      <c r="A50" s="270"/>
      <c r="B50" s="263"/>
      <c r="C50" s="160"/>
      <c r="D50" s="160"/>
      <c r="E50" s="160"/>
      <c r="F50" s="160"/>
      <c r="G50" s="160"/>
      <c r="H50" s="160"/>
      <c r="I50" s="160"/>
      <c r="J50" s="160"/>
      <c r="K50" s="160"/>
      <c r="L50" s="160"/>
      <c r="M50" s="160"/>
      <c r="N50" s="160"/>
      <c r="O50" s="160"/>
      <c r="P50" s="263"/>
      <c r="Q50" s="161"/>
    </row>
    <row r="51" spans="1:17" ht="15.75" customHeight="1" x14ac:dyDescent="0.2">
      <c r="A51" s="270"/>
      <c r="B51" s="30"/>
      <c r="Q51" s="121"/>
    </row>
    <row r="52" spans="1:17" ht="15.75" customHeight="1" x14ac:dyDescent="0.2">
      <c r="A52" s="269"/>
      <c r="B52" s="263"/>
      <c r="C52" s="160"/>
      <c r="D52" s="160"/>
      <c r="E52" s="160"/>
      <c r="F52" s="160"/>
      <c r="G52" s="160"/>
      <c r="H52" s="160"/>
      <c r="I52" s="160"/>
      <c r="J52" s="160"/>
      <c r="K52" s="160"/>
      <c r="L52" s="160"/>
      <c r="M52" s="160"/>
      <c r="N52" s="160"/>
      <c r="O52" s="160"/>
      <c r="P52" s="263"/>
      <c r="Q52" s="161"/>
    </row>
    <row r="53" spans="1:17" ht="15" customHeight="1" x14ac:dyDescent="0.2">
      <c r="A53" s="265"/>
      <c r="B53" s="30"/>
      <c r="Q53" s="121"/>
    </row>
    <row r="54" spans="1:17" ht="15" customHeight="1" x14ac:dyDescent="0.2">
      <c r="A54" s="266"/>
      <c r="B54" s="263"/>
      <c r="C54" s="160"/>
      <c r="D54" s="160"/>
      <c r="E54" s="160"/>
      <c r="F54" s="160"/>
      <c r="G54" s="160"/>
      <c r="H54" s="160"/>
      <c r="I54" s="160"/>
      <c r="J54" s="160"/>
      <c r="K54" s="160"/>
      <c r="L54" s="160"/>
      <c r="M54" s="160"/>
      <c r="N54" s="160"/>
      <c r="O54" s="160"/>
      <c r="P54" s="263"/>
      <c r="Q54" s="161"/>
    </row>
    <row r="55" spans="1:17" x14ac:dyDescent="0.2">
      <c r="B55" s="30"/>
      <c r="Q55" s="121"/>
    </row>
    <row r="56" spans="1:17" x14ac:dyDescent="0.2">
      <c r="B56" s="263"/>
      <c r="C56" s="160"/>
      <c r="D56" s="160"/>
      <c r="E56" s="160"/>
      <c r="F56" s="160"/>
      <c r="G56" s="160"/>
      <c r="H56" s="160"/>
      <c r="I56" s="160"/>
      <c r="J56" s="160"/>
      <c r="K56" s="160"/>
      <c r="L56" s="160"/>
      <c r="M56" s="160"/>
      <c r="N56" s="160"/>
      <c r="O56" s="160"/>
      <c r="P56" s="263"/>
      <c r="Q56" s="161"/>
    </row>
    <row r="57" spans="1:17" x14ac:dyDescent="0.2">
      <c r="B57" s="30"/>
      <c r="Q57" s="121"/>
    </row>
    <row r="58" spans="1:17" x14ac:dyDescent="0.2">
      <c r="B58" s="263"/>
      <c r="C58" s="160"/>
      <c r="D58" s="160"/>
      <c r="E58" s="160"/>
      <c r="F58" s="160"/>
      <c r="G58" s="160"/>
      <c r="H58" s="160"/>
      <c r="I58" s="160"/>
      <c r="J58" s="160"/>
      <c r="K58" s="160"/>
      <c r="L58" s="160"/>
      <c r="M58" s="160"/>
      <c r="N58" s="160"/>
      <c r="O58" s="160"/>
      <c r="P58" s="263"/>
      <c r="Q58" s="161"/>
    </row>
    <row r="59" spans="1:17" x14ac:dyDescent="0.2">
      <c r="B59" s="30"/>
      <c r="Q59" s="121"/>
    </row>
    <row r="60" spans="1:17" x14ac:dyDescent="0.2">
      <c r="B60" s="263"/>
      <c r="C60" s="160"/>
      <c r="D60" s="160"/>
      <c r="E60" s="160"/>
      <c r="F60" s="160"/>
      <c r="G60" s="160"/>
      <c r="H60" s="160"/>
      <c r="I60" s="160"/>
      <c r="J60" s="160"/>
      <c r="K60" s="160"/>
      <c r="L60" s="160"/>
      <c r="M60" s="160"/>
      <c r="N60" s="160"/>
      <c r="O60" s="160"/>
      <c r="P60" s="263"/>
      <c r="Q60" s="161"/>
    </row>
    <row r="61" spans="1:17" x14ac:dyDescent="0.2">
      <c r="B61" s="30"/>
      <c r="Q61" s="121"/>
    </row>
    <row r="62" spans="1:17" x14ac:dyDescent="0.2">
      <c r="B62" s="263"/>
      <c r="C62" s="263"/>
      <c r="D62" s="263"/>
      <c r="E62" s="263"/>
      <c r="F62" s="263"/>
      <c r="G62" s="263"/>
      <c r="H62" s="263"/>
      <c r="I62" s="263"/>
      <c r="J62" s="263"/>
      <c r="K62" s="263"/>
      <c r="L62" s="263"/>
      <c r="M62" s="263"/>
      <c r="N62" s="263"/>
      <c r="O62" s="263"/>
      <c r="P62" s="263"/>
      <c r="Q62" s="263"/>
    </row>
    <row r="63" spans="1:17" x14ac:dyDescent="0.2">
      <c r="B63" s="30"/>
      <c r="C63" s="30"/>
      <c r="D63" s="30"/>
      <c r="E63" s="30"/>
      <c r="F63" s="30"/>
      <c r="G63" s="30"/>
      <c r="H63" s="30"/>
      <c r="I63" s="30"/>
      <c r="J63" s="30"/>
      <c r="K63" s="30"/>
      <c r="L63" s="30"/>
      <c r="M63" s="30"/>
      <c r="N63" s="30"/>
      <c r="O63" s="30"/>
      <c r="Q63" s="30"/>
    </row>
    <row r="69" spans="1:1" ht="15" customHeight="1" x14ac:dyDescent="0.2">
      <c r="A69" s="266"/>
    </row>
    <row r="71" spans="1:1" ht="15" customHeight="1" x14ac:dyDescent="0.2">
      <c r="A71" s="266"/>
    </row>
    <row r="72" spans="1:1" ht="15" customHeight="1" x14ac:dyDescent="0.2">
      <c r="A72" s="266"/>
    </row>
    <row r="73" spans="1:1" ht="15" customHeight="1" x14ac:dyDescent="0.2">
      <c r="A73" s="266"/>
    </row>
    <row r="74" spans="1:1" ht="15" customHeight="1" x14ac:dyDescent="0.2">
      <c r="A74" s="266"/>
    </row>
    <row r="75" spans="1:1" ht="15" customHeight="1" x14ac:dyDescent="0.2">
      <c r="A75" s="266"/>
    </row>
    <row r="76" spans="1:1" ht="15" customHeight="1" x14ac:dyDescent="0.2">
      <c r="A76" s="266"/>
    </row>
    <row r="77" spans="1:1" ht="15" customHeight="1" x14ac:dyDescent="0.2">
      <c r="A77" s="266"/>
    </row>
    <row r="78" spans="1:1" ht="15" customHeight="1" x14ac:dyDescent="0.2">
      <c r="A78" s="266"/>
    </row>
    <row r="79" spans="1:1" ht="15" customHeight="1" x14ac:dyDescent="0.2">
      <c r="A79" s="265"/>
    </row>
    <row r="80" spans="1:1" ht="15" customHeight="1" x14ac:dyDescent="0.2">
      <c r="A80" s="266"/>
    </row>
    <row r="107" spans="1:3" ht="15" customHeight="1" x14ac:dyDescent="0.2">
      <c r="A107" s="166" t="s">
        <v>356</v>
      </c>
    </row>
    <row r="108" spans="1:3" ht="19.5" customHeight="1" x14ac:dyDescent="0.2">
      <c r="A108" s="278"/>
      <c r="B108" s="30"/>
      <c r="C108" s="30"/>
    </row>
    <row r="109" spans="1:3" ht="18" customHeight="1" x14ac:dyDescent="0.2">
      <c r="A109" s="271"/>
      <c r="B109" s="30"/>
      <c r="C109" s="30"/>
    </row>
    <row r="110" spans="1:3" ht="15" customHeight="1" x14ac:dyDescent="0.2">
      <c r="A110" s="271"/>
      <c r="B110" s="30"/>
      <c r="C110" s="30"/>
    </row>
    <row r="111" spans="1:3" ht="15" customHeight="1" x14ac:dyDescent="0.2">
      <c r="A111" s="271"/>
      <c r="B111" s="30"/>
      <c r="C111" s="30"/>
    </row>
    <row r="112" spans="1:3" ht="15" customHeight="1" x14ac:dyDescent="0.2">
      <c r="A112" s="271"/>
      <c r="B112" s="30"/>
      <c r="C112" s="30"/>
    </row>
    <row r="113" spans="1:3" ht="15" customHeight="1" x14ac:dyDescent="0.2">
      <c r="A113" s="266"/>
      <c r="B113" s="30"/>
      <c r="C113" s="30"/>
    </row>
    <row r="114" spans="1:3" ht="15" customHeight="1" x14ac:dyDescent="0.2">
      <c r="A114" s="266"/>
    </row>
    <row r="115" spans="1:3" ht="15" customHeight="1" x14ac:dyDescent="0.25">
      <c r="A115" s="268"/>
    </row>
    <row r="116" spans="1:3" ht="15" customHeight="1" x14ac:dyDescent="0.2">
      <c r="A116" s="266"/>
    </row>
    <row r="117" spans="1:3" ht="15" customHeight="1" x14ac:dyDescent="0.2">
      <c r="A117" s="266"/>
    </row>
    <row r="143" spans="1:1" ht="15" customHeight="1" x14ac:dyDescent="0.2">
      <c r="A143" s="266"/>
    </row>
    <row r="144" spans="1:1" ht="15" customHeight="1" x14ac:dyDescent="0.2">
      <c r="A144" s="266"/>
    </row>
    <row r="145" spans="1:1" ht="15" customHeight="1" x14ac:dyDescent="0.2">
      <c r="A145" s="266"/>
    </row>
    <row r="146" spans="1:1" ht="15" customHeight="1" x14ac:dyDescent="0.2">
      <c r="A146" s="266"/>
    </row>
    <row r="147" spans="1:1" ht="15" customHeight="1" x14ac:dyDescent="0.2">
      <c r="A147" s="266"/>
    </row>
    <row r="148" spans="1:1" ht="15" customHeight="1" x14ac:dyDescent="0.2">
      <c r="A148" s="266"/>
    </row>
    <row r="149" spans="1:1" ht="15" customHeight="1" x14ac:dyDescent="0.2">
      <c r="A149" s="266"/>
    </row>
    <row r="150" spans="1:1" ht="15" customHeight="1" x14ac:dyDescent="0.2">
      <c r="A150" s="31" t="s">
        <v>357</v>
      </c>
    </row>
    <row r="151" spans="1:1" ht="15" customHeight="1" x14ac:dyDescent="0.2">
      <c r="A151" s="266"/>
    </row>
    <row r="152" spans="1:1" ht="15" customHeight="1" x14ac:dyDescent="0.2">
      <c r="A152" s="266"/>
    </row>
    <row r="153" spans="1:1" ht="15" customHeight="1" x14ac:dyDescent="0.2">
      <c r="A153" s="271"/>
    </row>
    <row r="154" spans="1:1" ht="15" customHeight="1" x14ac:dyDescent="0.2">
      <c r="A154" s="271"/>
    </row>
    <row r="155" spans="1:1" ht="15" customHeight="1" x14ac:dyDescent="0.2">
      <c r="A155" s="271"/>
    </row>
    <row r="156" spans="1:1" ht="15" customHeight="1" x14ac:dyDescent="0.25">
      <c r="A156" s="268"/>
    </row>
    <row r="157" spans="1:1" ht="15" customHeight="1" x14ac:dyDescent="0.2">
      <c r="A157" s="266"/>
    </row>
    <row r="158" spans="1:1" ht="15" customHeight="1" x14ac:dyDescent="0.2">
      <c r="A158" s="271"/>
    </row>
    <row r="159" spans="1:1" ht="15" customHeight="1" x14ac:dyDescent="0.2">
      <c r="A159" s="271"/>
    </row>
    <row r="160" spans="1:1" ht="15" customHeight="1" x14ac:dyDescent="0.2">
      <c r="A160" s="271"/>
    </row>
    <row r="161" spans="1:1" ht="15" customHeight="1" x14ac:dyDescent="0.2">
      <c r="A161" s="271"/>
    </row>
    <row r="162" spans="1:1" ht="15" customHeight="1" x14ac:dyDescent="0.25">
      <c r="A162"/>
    </row>
    <row r="163" spans="1:1" ht="15" customHeight="1" x14ac:dyDescent="0.2">
      <c r="A163" s="266"/>
    </row>
    <row r="164" spans="1:1" ht="15" customHeight="1" x14ac:dyDescent="0.25">
      <c r="A164"/>
    </row>
    <row r="165" spans="1:1" ht="15" customHeight="1" x14ac:dyDescent="0.25">
      <c r="A165" s="268"/>
    </row>
    <row r="166" spans="1:1" ht="15" customHeight="1" x14ac:dyDescent="0.25">
      <c r="A166"/>
    </row>
    <row r="167" spans="1:1" ht="15" customHeight="1" x14ac:dyDescent="0.25">
      <c r="A167" s="268"/>
    </row>
    <row r="168" spans="1:1" ht="15" customHeight="1" x14ac:dyDescent="0.25">
      <c r="A168"/>
    </row>
    <row r="169" spans="1:1" ht="15" customHeight="1" x14ac:dyDescent="0.25">
      <c r="A169" s="268"/>
    </row>
    <row r="170" spans="1:1" ht="15" customHeight="1" x14ac:dyDescent="0.2">
      <c r="A170" s="266"/>
    </row>
    <row r="171" spans="1:1" ht="15" customHeight="1" x14ac:dyDescent="0.2">
      <c r="A171" s="271"/>
    </row>
    <row r="172" spans="1:1" ht="15" customHeight="1" x14ac:dyDescent="0.2">
      <c r="A172" s="271"/>
    </row>
    <row r="173" spans="1:1" ht="15" customHeight="1" x14ac:dyDescent="0.25">
      <c r="A173"/>
    </row>
    <row r="174" spans="1:1" ht="15" customHeight="1" x14ac:dyDescent="0.2">
      <c r="A174" s="271"/>
    </row>
    <row r="175" spans="1:1" ht="15" customHeight="1" x14ac:dyDescent="0.25">
      <c r="A175"/>
    </row>
    <row r="176" spans="1:1" ht="15" customHeight="1" x14ac:dyDescent="0.25">
      <c r="A176" s="268"/>
    </row>
    <row r="177" spans="1:1" ht="15" customHeight="1" x14ac:dyDescent="0.2">
      <c r="A177" s="266"/>
    </row>
    <row r="178" spans="1:1" ht="15" customHeight="1" x14ac:dyDescent="0.25">
      <c r="A178"/>
    </row>
    <row r="179" spans="1:1" ht="15" customHeight="1" x14ac:dyDescent="0.2">
      <c r="A179" s="265"/>
    </row>
    <row r="180" spans="1:1" ht="15" customHeight="1" x14ac:dyDescent="0.2">
      <c r="A180" s="266"/>
    </row>
    <row r="181" spans="1:1" ht="15" x14ac:dyDescent="0.25">
      <c r="A181"/>
    </row>
    <row r="183" spans="1:1" ht="15" x14ac:dyDescent="0.25">
      <c r="A183"/>
    </row>
    <row r="187" spans="1:1" ht="15" x14ac:dyDescent="0.25">
      <c r="A187"/>
    </row>
    <row r="191" spans="1:1" ht="15" x14ac:dyDescent="0.25">
      <c r="A191"/>
    </row>
    <row r="226" spans="1:1" ht="15" x14ac:dyDescent="0.25">
      <c r="A226"/>
    </row>
    <row r="229" spans="1:1" ht="15" x14ac:dyDescent="0.25">
      <c r="A229"/>
    </row>
    <row r="232" spans="1:1" ht="15" x14ac:dyDescent="0.25">
      <c r="A232" s="3"/>
    </row>
    <row r="233" spans="1:1" ht="15" x14ac:dyDescent="0.25">
      <c r="A233" s="3"/>
    </row>
    <row r="237" spans="1:1" ht="15" x14ac:dyDescent="0.25">
      <c r="A237"/>
    </row>
  </sheetData>
  <mergeCells count="2">
    <mergeCell ref="A1:Q1"/>
    <mergeCell ref="B2:P2"/>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348"/>
  <sheetViews>
    <sheetView zoomScaleNormal="100" workbookViewId="0">
      <selection activeCell="G114" sqref="G114"/>
    </sheetView>
  </sheetViews>
  <sheetFormatPr defaultRowHeight="14.25" x14ac:dyDescent="0.2"/>
  <cols>
    <col min="1" max="1" width="26.5703125" style="120" customWidth="1"/>
    <col min="2" max="2" width="28.85546875" style="113" customWidth="1"/>
    <col min="3" max="3" width="41.5703125" style="113" customWidth="1"/>
    <col min="4" max="4" width="23.5703125" style="113" customWidth="1"/>
    <col min="5" max="5" width="11.140625" style="113" customWidth="1"/>
    <col min="6" max="6" width="13.140625" style="113" customWidth="1"/>
    <col min="7" max="7" width="13.5703125" style="113" customWidth="1"/>
    <col min="8" max="8" width="12.7109375" style="113" customWidth="1"/>
    <col min="9" max="9" width="17.5703125" style="113" customWidth="1"/>
    <col min="10" max="10" width="13.28515625" style="113" customWidth="1"/>
    <col min="11" max="12" width="11.7109375" style="113" customWidth="1"/>
    <col min="13" max="13" width="13.42578125" style="113" customWidth="1"/>
    <col min="14" max="14" width="13.28515625" style="113" customWidth="1"/>
    <col min="15" max="16384" width="9.140625" style="113"/>
  </cols>
  <sheetData>
    <row r="1" spans="1:16" ht="20.25" customHeight="1" x14ac:dyDescent="0.3">
      <c r="A1" s="710" t="s">
        <v>535</v>
      </c>
      <c r="B1" s="711"/>
      <c r="C1" s="711"/>
      <c r="D1" s="711"/>
      <c r="E1" s="711"/>
      <c r="F1" s="711"/>
      <c r="G1" s="711"/>
      <c r="H1" s="711"/>
      <c r="I1" s="711"/>
      <c r="J1" s="711"/>
      <c r="K1" s="711"/>
      <c r="L1" s="711"/>
      <c r="M1" s="711"/>
      <c r="N1" s="711"/>
      <c r="O1" s="711"/>
      <c r="P1" s="711"/>
    </row>
    <row r="2" spans="1:16" ht="15" customHeight="1" x14ac:dyDescent="0.3">
      <c r="A2" s="466"/>
      <c r="B2" s="466"/>
      <c r="C2" s="466"/>
      <c r="D2" s="466"/>
      <c r="E2" s="466"/>
      <c r="F2" s="466"/>
      <c r="G2" s="466"/>
      <c r="H2" s="466"/>
      <c r="I2" s="466"/>
      <c r="J2" s="466"/>
      <c r="K2" s="466"/>
      <c r="L2" s="466"/>
      <c r="M2" s="466"/>
      <c r="N2" s="466"/>
      <c r="O2" s="466"/>
      <c r="P2" s="466"/>
    </row>
    <row r="3" spans="1:16" ht="18" x14ac:dyDescent="0.25">
      <c r="A3" s="459" t="s">
        <v>530</v>
      </c>
      <c r="B3" s="460"/>
      <c r="C3" s="461"/>
      <c r="D3" s="462"/>
      <c r="E3" s="462"/>
      <c r="F3" s="460"/>
      <c r="G3" s="463"/>
      <c r="H3" s="464"/>
    </row>
    <row r="4" spans="1:16" ht="6" customHeight="1" x14ac:dyDescent="0.25">
      <c r="A4" s="465"/>
      <c r="B4" s="2"/>
      <c r="C4" s="451"/>
      <c r="D4" s="452"/>
      <c r="E4" s="452"/>
      <c r="F4" s="2"/>
      <c r="G4" s="339"/>
      <c r="H4" s="340"/>
    </row>
    <row r="5" spans="1:16" x14ac:dyDescent="0.2">
      <c r="A5" s="595" t="s">
        <v>551</v>
      </c>
      <c r="B5" s="596"/>
      <c r="C5" s="596"/>
      <c r="D5" s="597"/>
      <c r="E5" s="597"/>
      <c r="F5" s="596"/>
      <c r="G5" s="598"/>
      <c r="H5" s="599"/>
    </row>
    <row r="6" spans="1:16" x14ac:dyDescent="0.2">
      <c r="A6" s="337" t="s">
        <v>364</v>
      </c>
      <c r="B6" s="2"/>
      <c r="C6" s="2"/>
      <c r="D6" s="338"/>
      <c r="E6" s="338"/>
      <c r="F6" s="2"/>
      <c r="G6" s="339"/>
      <c r="H6" s="340"/>
    </row>
    <row r="7" spans="1:16" x14ac:dyDescent="0.2">
      <c r="A7" s="595" t="s">
        <v>365</v>
      </c>
      <c r="B7" s="596"/>
      <c r="C7" s="596"/>
      <c r="D7" s="597"/>
      <c r="E7" s="597"/>
      <c r="F7" s="596"/>
      <c r="G7" s="598"/>
      <c r="H7" s="599"/>
    </row>
    <row r="8" spans="1:16" x14ac:dyDescent="0.2">
      <c r="A8" s="337" t="s">
        <v>366</v>
      </c>
      <c r="B8" s="2"/>
      <c r="C8" s="2"/>
      <c r="D8" s="338"/>
      <c r="E8" s="338"/>
      <c r="F8" s="2"/>
      <c r="G8" s="339"/>
      <c r="H8" s="340"/>
    </row>
    <row r="9" spans="1:16" x14ac:dyDescent="0.2">
      <c r="A9" s="595" t="s">
        <v>367</v>
      </c>
      <c r="B9" s="596"/>
      <c r="C9" s="596"/>
      <c r="D9" s="597"/>
      <c r="E9" s="597"/>
      <c r="F9" s="596"/>
      <c r="G9" s="598"/>
      <c r="H9" s="599"/>
    </row>
    <row r="10" spans="1:16" x14ac:dyDescent="0.2">
      <c r="A10" s="337" t="s">
        <v>370</v>
      </c>
      <c r="B10" s="2"/>
      <c r="C10" s="2"/>
      <c r="D10" s="338"/>
      <c r="E10" s="338"/>
      <c r="F10" s="2"/>
      <c r="G10" s="339"/>
      <c r="H10" s="340"/>
    </row>
    <row r="11" spans="1:16" x14ac:dyDescent="0.2">
      <c r="A11" s="595" t="s">
        <v>372</v>
      </c>
      <c r="B11" s="596"/>
      <c r="C11" s="596"/>
      <c r="D11" s="597"/>
      <c r="E11" s="597"/>
      <c r="F11" s="596"/>
      <c r="G11" s="598"/>
      <c r="H11" s="599"/>
    </row>
    <row r="12" spans="1:16" x14ac:dyDescent="0.2">
      <c r="A12" s="337" t="s">
        <v>373</v>
      </c>
      <c r="B12" s="2"/>
      <c r="C12" s="2"/>
      <c r="D12" s="338"/>
      <c r="E12" s="338"/>
      <c r="F12" s="2"/>
      <c r="G12" s="339"/>
      <c r="H12" s="340"/>
    </row>
    <row r="13" spans="1:16" x14ac:dyDescent="0.2">
      <c r="A13" s="600" t="s">
        <v>374</v>
      </c>
      <c r="B13" s="601"/>
      <c r="C13" s="601"/>
      <c r="D13" s="602"/>
      <c r="E13" s="602"/>
      <c r="F13" s="601"/>
      <c r="G13" s="603"/>
      <c r="H13" s="604"/>
    </row>
    <row r="15" spans="1:16" ht="21.75" customHeight="1" x14ac:dyDescent="0.3">
      <c r="A15" s="453" t="s">
        <v>540</v>
      </c>
    </row>
    <row r="16" spans="1:16" ht="9.75" customHeight="1" x14ac:dyDescent="0.3">
      <c r="A16" s="453"/>
      <c r="I16" s="467"/>
    </row>
    <row r="17" spans="1:9" ht="15" x14ac:dyDescent="0.25">
      <c r="A17" s="470" t="s">
        <v>279</v>
      </c>
      <c r="B17" s="460"/>
      <c r="C17" s="460"/>
      <c r="D17" s="460"/>
      <c r="E17" s="460"/>
      <c r="F17" s="460"/>
      <c r="G17" s="460"/>
      <c r="H17" s="460"/>
      <c r="I17" s="469"/>
    </row>
    <row r="18" spans="1:9" x14ac:dyDescent="0.2">
      <c r="A18" s="127" t="s">
        <v>431</v>
      </c>
      <c r="B18" s="125"/>
      <c r="C18" s="608">
        <v>187.44499999999999</v>
      </c>
      <c r="D18" s="30"/>
      <c r="E18" s="30"/>
      <c r="F18" s="2"/>
      <c r="G18" s="2"/>
      <c r="H18" s="2"/>
      <c r="I18" s="469"/>
    </row>
    <row r="19" spans="1:9" x14ac:dyDescent="0.2">
      <c r="A19" s="611" t="s">
        <v>538</v>
      </c>
      <c r="B19" s="30"/>
      <c r="C19" s="612"/>
      <c r="D19" s="30"/>
      <c r="E19" s="30"/>
      <c r="F19" s="2"/>
      <c r="G19" s="2"/>
      <c r="H19" s="2"/>
      <c r="I19" s="469"/>
    </row>
    <row r="20" spans="1:9" ht="25.5" customHeight="1" x14ac:dyDescent="0.2">
      <c r="A20" s="289" t="s">
        <v>26</v>
      </c>
      <c r="B20" s="290" t="s">
        <v>84</v>
      </c>
      <c r="C20" s="290" t="s">
        <v>350</v>
      </c>
      <c r="D20" s="290" t="s">
        <v>351</v>
      </c>
      <c r="E20" s="607" t="s">
        <v>352</v>
      </c>
      <c r="F20" s="705" t="s">
        <v>539</v>
      </c>
      <c r="G20" s="706"/>
      <c r="H20" s="706"/>
      <c r="I20" s="707"/>
    </row>
    <row r="21" spans="1:9" ht="15" x14ac:dyDescent="0.25">
      <c r="A21" s="139">
        <v>2008</v>
      </c>
      <c r="B21" s="23">
        <v>508</v>
      </c>
      <c r="C21" s="291">
        <v>173.19300000000001</v>
      </c>
      <c r="D21" s="292">
        <f t="shared" ref="D21:D33" si="0">B21*$C$18/C21</f>
        <v>549.80316756450895</v>
      </c>
      <c r="E21" s="471"/>
      <c r="F21" s="596"/>
      <c r="G21" s="596"/>
      <c r="H21" s="596"/>
      <c r="I21" s="609"/>
    </row>
    <row r="22" spans="1:9" ht="15" x14ac:dyDescent="0.25">
      <c r="A22" s="496">
        <v>2009</v>
      </c>
      <c r="B22" s="23">
        <v>579</v>
      </c>
      <c r="C22" s="291">
        <v>168.09299999999999</v>
      </c>
      <c r="D22" s="292">
        <f>B22*$C$18/C22</f>
        <v>645.65838553657795</v>
      </c>
      <c r="E22" s="471">
        <f>(D22-D21)/D21</f>
        <v>0.174344608447208</v>
      </c>
      <c r="F22" s="596"/>
      <c r="G22" s="596"/>
      <c r="H22" s="596"/>
      <c r="I22" s="609"/>
    </row>
    <row r="23" spans="1:9" ht="15" x14ac:dyDescent="0.25">
      <c r="A23" s="496">
        <v>2010</v>
      </c>
      <c r="B23" s="23">
        <v>701</v>
      </c>
      <c r="C23" s="291">
        <v>172.12899999999999</v>
      </c>
      <c r="D23" s="292">
        <f t="shared" si="0"/>
        <v>763.37482353351277</v>
      </c>
      <c r="E23" s="471">
        <f>(D23-D22)/D22</f>
        <v>0.18232000177478672</v>
      </c>
      <c r="F23" s="596"/>
      <c r="G23" s="596"/>
      <c r="H23" s="596"/>
      <c r="I23" s="609"/>
    </row>
    <row r="24" spans="1:9" ht="15" x14ac:dyDescent="0.25">
      <c r="A24" s="139">
        <v>2011</v>
      </c>
      <c r="B24" s="23">
        <v>744</v>
      </c>
      <c r="C24" s="291">
        <v>180.19200000000001</v>
      </c>
      <c r="D24" s="292">
        <f t="shared" si="0"/>
        <v>773.94712306872657</v>
      </c>
      <c r="E24" s="471">
        <f t="shared" ref="E24:E33" si="1">(D24-D23)/D23</f>
        <v>1.3849421292513545E-2</v>
      </c>
      <c r="F24" s="596"/>
      <c r="G24" s="596"/>
      <c r="H24" s="596"/>
      <c r="I24" s="609"/>
    </row>
    <row r="25" spans="1:9" ht="15" x14ac:dyDescent="0.25">
      <c r="A25" s="139">
        <v>2012</v>
      </c>
      <c r="B25" s="23">
        <v>794</v>
      </c>
      <c r="C25" s="291">
        <v>183.70500000000001</v>
      </c>
      <c r="D25" s="292">
        <f t="shared" si="0"/>
        <v>810.16482948204987</v>
      </c>
      <c r="E25" s="471">
        <f t="shared" si="1"/>
        <v>4.679609928610997E-2</v>
      </c>
      <c r="F25" s="596"/>
      <c r="G25" s="596"/>
      <c r="H25" s="596"/>
      <c r="I25" s="609"/>
    </row>
    <row r="26" spans="1:9" ht="15" x14ac:dyDescent="0.25">
      <c r="A26" s="139">
        <v>2013</v>
      </c>
      <c r="B26" s="23">
        <v>847</v>
      </c>
      <c r="C26" s="291">
        <v>183.44300000000001</v>
      </c>
      <c r="D26" s="292">
        <f t="shared" si="0"/>
        <v>865.47818668469222</v>
      </c>
      <c r="E26" s="471">
        <f t="shared" si="1"/>
        <v>6.8274201976905091E-2</v>
      </c>
      <c r="F26" s="596"/>
      <c r="G26" s="596"/>
      <c r="H26" s="596"/>
      <c r="I26" s="609"/>
    </row>
    <row r="27" spans="1:9" ht="15" x14ac:dyDescent="0.25">
      <c r="A27" s="139">
        <v>2014</v>
      </c>
      <c r="B27" s="23">
        <v>890</v>
      </c>
      <c r="C27" s="291">
        <v>183.92</v>
      </c>
      <c r="D27" s="292">
        <f t="shared" si="0"/>
        <v>907.05768812527185</v>
      </c>
      <c r="E27" s="471">
        <f t="shared" si="1"/>
        <v>4.8042229232667794E-2</v>
      </c>
      <c r="F27" s="596"/>
      <c r="G27" s="596"/>
      <c r="H27" s="596"/>
      <c r="I27" s="609"/>
    </row>
    <row r="28" spans="1:9" ht="15" x14ac:dyDescent="0.25">
      <c r="A28" s="139">
        <v>2015</v>
      </c>
      <c r="B28" s="23">
        <v>923</v>
      </c>
      <c r="C28" s="291">
        <v>180.26</v>
      </c>
      <c r="D28" s="292">
        <f t="shared" si="0"/>
        <v>959.78994230555861</v>
      </c>
      <c r="E28" s="471">
        <f t="shared" si="1"/>
        <v>5.8135502152321779E-2</v>
      </c>
      <c r="F28" s="596"/>
      <c r="G28" s="596"/>
      <c r="H28" s="596"/>
      <c r="I28" s="609"/>
    </row>
    <row r="29" spans="1:9" ht="15" x14ac:dyDescent="0.25">
      <c r="A29" s="139">
        <v>2016</v>
      </c>
      <c r="B29" s="23">
        <v>942</v>
      </c>
      <c r="C29" s="291">
        <v>178.01</v>
      </c>
      <c r="D29" s="292">
        <f t="shared" si="0"/>
        <v>991.92848716364256</v>
      </c>
      <c r="E29" s="471">
        <f t="shared" si="1"/>
        <v>3.3484977745111985E-2</v>
      </c>
      <c r="F29" s="596"/>
      <c r="G29" s="596"/>
      <c r="H29" s="596"/>
      <c r="I29" s="609"/>
    </row>
    <row r="30" spans="1:9" ht="15" x14ac:dyDescent="0.25">
      <c r="A30" s="139">
        <v>2017</v>
      </c>
      <c r="B30" s="23">
        <v>979</v>
      </c>
      <c r="C30" s="291">
        <v>180.50899999999999</v>
      </c>
      <c r="D30" s="292">
        <f t="shared" si="0"/>
        <v>1016.6177586713129</v>
      </c>
      <c r="E30" s="471">
        <f t="shared" si="1"/>
        <v>2.4890172857387916E-2</v>
      </c>
      <c r="F30" s="596"/>
      <c r="G30" s="596"/>
      <c r="H30" s="596"/>
      <c r="I30" s="609"/>
    </row>
    <row r="31" spans="1:9" ht="15" x14ac:dyDescent="0.25">
      <c r="A31" s="139">
        <v>2018</v>
      </c>
      <c r="B31" s="23">
        <v>1015</v>
      </c>
      <c r="C31" s="291">
        <v>184.96600000000001</v>
      </c>
      <c r="D31" s="292">
        <f t="shared" si="0"/>
        <v>1028.6035001027215</v>
      </c>
      <c r="E31" s="471">
        <f t="shared" si="1"/>
        <v>1.1789821030741707E-2</v>
      </c>
      <c r="F31" s="596"/>
      <c r="G31" s="596"/>
      <c r="H31" s="596"/>
      <c r="I31" s="609"/>
    </row>
    <row r="32" spans="1:9" ht="15" x14ac:dyDescent="0.25">
      <c r="A32" s="139">
        <v>2019</v>
      </c>
      <c r="B32" s="23">
        <v>1050</v>
      </c>
      <c r="C32" s="291">
        <v>187.44499999999999</v>
      </c>
      <c r="D32" s="292">
        <f t="shared" si="0"/>
        <v>1050</v>
      </c>
      <c r="E32" s="471">
        <f t="shared" si="1"/>
        <v>2.0801504073378892E-2</v>
      </c>
      <c r="F32" s="596"/>
      <c r="G32" s="596"/>
      <c r="H32" s="596"/>
      <c r="I32" s="609"/>
    </row>
    <row r="33" spans="1:9" ht="15" x14ac:dyDescent="0.25">
      <c r="A33" s="139">
        <v>2020</v>
      </c>
      <c r="B33" s="23">
        <v>1078</v>
      </c>
      <c r="C33" s="291">
        <f>D36</f>
        <v>187.43119999999999</v>
      </c>
      <c r="D33" s="292">
        <f t="shared" si="0"/>
        <v>1078.0793699234705</v>
      </c>
      <c r="E33" s="471">
        <f t="shared" si="1"/>
        <v>2.6742257069971898E-2</v>
      </c>
      <c r="F33" s="596"/>
      <c r="G33" s="596"/>
      <c r="H33" s="596"/>
      <c r="I33" s="609"/>
    </row>
    <row r="34" spans="1:9" ht="15" x14ac:dyDescent="0.25">
      <c r="A34" s="139"/>
      <c r="B34" s="23"/>
      <c r="C34" s="291"/>
      <c r="D34" s="292"/>
      <c r="E34" s="471"/>
      <c r="F34" s="596"/>
      <c r="G34" s="596"/>
      <c r="H34" s="596"/>
      <c r="I34" s="609"/>
    </row>
    <row r="35" spans="1:9" ht="15" x14ac:dyDescent="0.25">
      <c r="A35" s="508" t="s">
        <v>451</v>
      </c>
      <c r="B35" s="499"/>
      <c r="C35" s="500"/>
      <c r="D35" s="501"/>
      <c r="E35" s="471"/>
      <c r="F35" s="596"/>
      <c r="G35" s="596"/>
      <c r="H35" s="596"/>
      <c r="I35" s="609"/>
    </row>
    <row r="36" spans="1:9" ht="15" x14ac:dyDescent="0.25">
      <c r="A36" s="139" t="s">
        <v>445</v>
      </c>
      <c r="B36" s="23">
        <v>187.697</v>
      </c>
      <c r="C36" s="291" t="s">
        <v>450</v>
      </c>
      <c r="D36" s="502">
        <f>AVERAGE(B36:B40)</f>
        <v>187.43119999999999</v>
      </c>
      <c r="E36" s="471"/>
      <c r="F36" s="596"/>
      <c r="G36" s="596"/>
      <c r="H36" s="596"/>
      <c r="I36" s="609"/>
    </row>
    <row r="37" spans="1:9" ht="15" x14ac:dyDescent="0.25">
      <c r="A37" s="139" t="s">
        <v>446</v>
      </c>
      <c r="B37" s="23">
        <v>188.56700000000001</v>
      </c>
      <c r="C37" s="291"/>
      <c r="D37" s="503"/>
      <c r="E37" s="471"/>
      <c r="F37" s="596"/>
      <c r="G37" s="596"/>
      <c r="H37" s="596"/>
      <c r="I37" s="609"/>
    </row>
    <row r="38" spans="1:9" ht="15" x14ac:dyDescent="0.25">
      <c r="A38" s="139" t="s">
        <v>447</v>
      </c>
      <c r="B38" s="498">
        <v>188.077</v>
      </c>
      <c r="C38" s="497"/>
      <c r="D38" s="504"/>
      <c r="E38" s="471"/>
      <c r="F38" s="596"/>
      <c r="G38" s="596"/>
      <c r="H38" s="596"/>
      <c r="I38" s="609"/>
    </row>
    <row r="39" spans="1:9" ht="15" x14ac:dyDescent="0.25">
      <c r="A39" s="139" t="s">
        <v>448</v>
      </c>
      <c r="B39" s="23">
        <v>186.62299999999999</v>
      </c>
      <c r="C39" s="291"/>
      <c r="D39" s="503"/>
      <c r="E39" s="471"/>
      <c r="F39" s="596"/>
      <c r="G39" s="596"/>
      <c r="H39" s="596"/>
      <c r="I39" s="609"/>
    </row>
    <row r="40" spans="1:9" ht="15" x14ac:dyDescent="0.25">
      <c r="A40" s="293" t="s">
        <v>449</v>
      </c>
      <c r="B40" s="505">
        <v>186.19200000000001</v>
      </c>
      <c r="C40" s="506"/>
      <c r="D40" s="507"/>
      <c r="E40" s="471"/>
      <c r="F40" s="596"/>
      <c r="G40" s="596"/>
      <c r="H40" s="596"/>
      <c r="I40" s="609"/>
    </row>
    <row r="41" spans="1:9" x14ac:dyDescent="0.2">
      <c r="A41" s="499" t="s">
        <v>353</v>
      </c>
      <c r="B41" s="146"/>
      <c r="C41" s="540">
        <f>AVERAGE(E22:E33)</f>
        <v>5.9122566411592102E-2</v>
      </c>
      <c r="D41" s="20"/>
      <c r="E41" s="472"/>
      <c r="F41" s="596"/>
      <c r="G41" s="596"/>
      <c r="H41" s="596"/>
      <c r="I41" s="609"/>
    </row>
    <row r="42" spans="1:9" x14ac:dyDescent="0.2">
      <c r="A42" s="293"/>
      <c r="B42" s="143"/>
      <c r="C42" s="294"/>
      <c r="D42" s="143"/>
      <c r="E42" s="473"/>
      <c r="F42" s="601"/>
      <c r="G42" s="601"/>
      <c r="H42" s="601"/>
      <c r="I42" s="610"/>
    </row>
    <row r="43" spans="1:9" x14ac:dyDescent="0.2">
      <c r="A43" s="30"/>
      <c r="B43" s="2"/>
      <c r="C43" s="454"/>
      <c r="D43" s="2"/>
      <c r="E43" s="2"/>
      <c r="F43" s="2"/>
      <c r="G43" s="2"/>
      <c r="H43" s="2"/>
      <c r="I43" s="255"/>
    </row>
    <row r="44" spans="1:9" ht="15" x14ac:dyDescent="0.2">
      <c r="A44" s="619" t="s">
        <v>349</v>
      </c>
      <c r="B44" s="620"/>
      <c r="C44" s="620"/>
      <c r="D44" s="621"/>
      <c r="E44" s="460"/>
      <c r="F44" s="460"/>
      <c r="G44" s="460"/>
      <c r="H44" s="460"/>
      <c r="I44" s="469"/>
    </row>
    <row r="45" spans="1:9" ht="15" x14ac:dyDescent="0.25">
      <c r="A45" s="3"/>
      <c r="B45" s="2"/>
      <c r="C45" s="2"/>
      <c r="D45" s="2"/>
      <c r="E45" s="2"/>
      <c r="F45" s="2"/>
      <c r="G45" s="2"/>
      <c r="H45" s="2"/>
      <c r="I45" s="469"/>
    </row>
    <row r="46" spans="1:9" x14ac:dyDescent="0.2">
      <c r="A46" s="479"/>
      <c r="B46" s="2"/>
      <c r="C46" s="2"/>
      <c r="D46" s="2"/>
      <c r="E46" s="2"/>
      <c r="F46" s="2"/>
      <c r="G46" s="2"/>
      <c r="H46" s="2"/>
      <c r="I46" s="469"/>
    </row>
    <row r="47" spans="1:9" x14ac:dyDescent="0.2">
      <c r="A47" s="479"/>
      <c r="B47" s="2"/>
      <c r="C47" s="2"/>
      <c r="D47" s="2"/>
      <c r="E47" s="2"/>
      <c r="F47" s="2"/>
      <c r="G47" s="2"/>
      <c r="H47" s="2"/>
      <c r="I47" s="469"/>
    </row>
    <row r="48" spans="1:9" x14ac:dyDescent="0.2">
      <c r="A48" s="479"/>
      <c r="B48" s="2"/>
      <c r="C48" s="2"/>
      <c r="D48" s="2"/>
      <c r="E48" s="2"/>
      <c r="F48" s="2"/>
      <c r="G48" s="2"/>
      <c r="H48" s="2"/>
      <c r="I48" s="469"/>
    </row>
    <row r="49" spans="1:9" x14ac:dyDescent="0.2">
      <c r="A49" s="479"/>
      <c r="B49" s="2"/>
      <c r="C49" s="2"/>
      <c r="D49" s="2"/>
      <c r="E49" s="2"/>
      <c r="F49" s="2"/>
      <c r="G49" s="2"/>
      <c r="H49" s="2"/>
      <c r="I49" s="469"/>
    </row>
    <row r="50" spans="1:9" x14ac:dyDescent="0.2">
      <c r="A50" s="479"/>
      <c r="B50" s="2"/>
      <c r="C50" s="2"/>
      <c r="D50" s="2"/>
      <c r="E50" s="2"/>
      <c r="F50" s="2"/>
      <c r="G50" s="2"/>
      <c r="H50" s="2"/>
      <c r="I50" s="469"/>
    </row>
    <row r="51" spans="1:9" x14ac:dyDescent="0.2">
      <c r="A51" s="479"/>
      <c r="B51" s="2"/>
      <c r="C51" s="2"/>
      <c r="D51" s="2"/>
      <c r="E51" s="2"/>
      <c r="F51" s="2"/>
      <c r="G51" s="2"/>
      <c r="H51" s="2"/>
      <c r="I51" s="469"/>
    </row>
    <row r="52" spans="1:9" x14ac:dyDescent="0.2">
      <c r="A52" s="479"/>
      <c r="B52" s="2"/>
      <c r="C52" s="2"/>
      <c r="D52" s="2"/>
      <c r="E52" s="2"/>
      <c r="F52" s="2"/>
      <c r="G52" s="2"/>
      <c r="H52" s="2"/>
      <c r="I52" s="469"/>
    </row>
    <row r="53" spans="1:9" x14ac:dyDescent="0.2">
      <c r="A53" s="479"/>
      <c r="B53" s="2"/>
      <c r="C53" s="2"/>
      <c r="D53" s="2"/>
      <c r="E53" s="2"/>
      <c r="F53" s="2"/>
      <c r="G53" s="2"/>
      <c r="H53" s="2"/>
      <c r="I53" s="469"/>
    </row>
    <row r="54" spans="1:9" x14ac:dyDescent="0.2">
      <c r="A54" s="479"/>
      <c r="B54" s="2"/>
      <c r="C54" s="2"/>
      <c r="D54" s="2"/>
      <c r="E54" s="2"/>
      <c r="F54" s="2"/>
      <c r="G54" s="2"/>
      <c r="H54" s="2"/>
      <c r="I54" s="469"/>
    </row>
    <row r="55" spans="1:9" x14ac:dyDescent="0.2">
      <c r="A55" s="479"/>
      <c r="B55" s="2"/>
      <c r="C55" s="2"/>
      <c r="D55" s="2"/>
      <c r="E55" s="2"/>
      <c r="F55" s="2"/>
      <c r="G55" s="2"/>
      <c r="H55" s="2"/>
      <c r="I55" s="469"/>
    </row>
    <row r="56" spans="1:9" x14ac:dyDescent="0.2">
      <c r="A56" s="479"/>
      <c r="B56" s="2"/>
      <c r="C56" s="2"/>
      <c r="D56" s="2"/>
      <c r="E56" s="2"/>
      <c r="F56" s="2"/>
      <c r="G56" s="2"/>
      <c r="H56" s="2"/>
      <c r="I56" s="469"/>
    </row>
    <row r="57" spans="1:9" x14ac:dyDescent="0.2">
      <c r="A57" s="479"/>
      <c r="B57" s="2"/>
      <c r="C57" s="2"/>
      <c r="D57" s="2"/>
      <c r="E57" s="2"/>
      <c r="F57" s="2"/>
      <c r="G57" s="2"/>
      <c r="H57" s="2"/>
      <c r="I57" s="469"/>
    </row>
    <row r="58" spans="1:9" x14ac:dyDescent="0.2">
      <c r="A58" s="479"/>
      <c r="B58" s="2"/>
      <c r="C58" s="2"/>
      <c r="D58" s="2"/>
      <c r="E58" s="2"/>
      <c r="F58" s="2"/>
      <c r="G58" s="2"/>
      <c r="H58" s="2"/>
      <c r="I58" s="469"/>
    </row>
    <row r="59" spans="1:9" x14ac:dyDescent="0.2">
      <c r="A59" s="479"/>
      <c r="B59" s="2"/>
      <c r="C59" s="2"/>
      <c r="D59" s="2"/>
      <c r="E59" s="2"/>
      <c r="F59" s="2"/>
      <c r="G59" s="2"/>
      <c r="H59" s="2"/>
      <c r="I59" s="469"/>
    </row>
    <row r="60" spans="1:9" x14ac:dyDescent="0.2">
      <c r="A60" s="479"/>
      <c r="B60" s="2"/>
      <c r="C60" s="2"/>
      <c r="D60" s="2"/>
      <c r="E60" s="2"/>
      <c r="F60" s="2"/>
      <c r="G60" s="2"/>
      <c r="H60" s="2"/>
      <c r="I60" s="469"/>
    </row>
    <row r="61" spans="1:9" x14ac:dyDescent="0.2">
      <c r="A61" s="479"/>
      <c r="B61" s="2"/>
      <c r="C61" s="2"/>
      <c r="D61" s="2"/>
      <c r="E61" s="2"/>
      <c r="F61" s="2"/>
      <c r="G61" s="2"/>
      <c r="H61" s="2"/>
      <c r="I61" s="469"/>
    </row>
    <row r="62" spans="1:9" x14ac:dyDescent="0.2">
      <c r="A62" s="479"/>
      <c r="B62" s="2"/>
      <c r="C62" s="2"/>
      <c r="D62" s="2"/>
      <c r="E62" s="2"/>
      <c r="F62" s="2"/>
      <c r="G62" s="2"/>
      <c r="H62" s="2"/>
      <c r="I62" s="469"/>
    </row>
    <row r="63" spans="1:9" x14ac:dyDescent="0.2">
      <c r="A63" s="479"/>
      <c r="B63" s="2"/>
      <c r="C63" s="2"/>
      <c r="D63" s="2"/>
      <c r="E63" s="2"/>
      <c r="F63" s="2"/>
      <c r="G63" s="2"/>
      <c r="H63" s="2"/>
      <c r="I63" s="469"/>
    </row>
    <row r="64" spans="1:9" x14ac:dyDescent="0.2">
      <c r="A64" s="479"/>
      <c r="B64" s="2"/>
      <c r="C64" s="2"/>
      <c r="D64" s="2"/>
      <c r="E64" s="2"/>
      <c r="F64" s="2"/>
      <c r="G64" s="2"/>
      <c r="H64" s="2"/>
      <c r="I64" s="469"/>
    </row>
    <row r="65" spans="1:9" x14ac:dyDescent="0.2">
      <c r="A65" s="479"/>
      <c r="B65" s="2"/>
      <c r="C65" s="2"/>
      <c r="D65" s="2"/>
      <c r="E65" s="2"/>
      <c r="F65" s="2"/>
      <c r="G65" s="2"/>
      <c r="H65" s="2"/>
      <c r="I65" s="469"/>
    </row>
    <row r="66" spans="1:9" x14ac:dyDescent="0.2">
      <c r="A66" s="479"/>
      <c r="B66" s="2"/>
      <c r="C66" s="2"/>
      <c r="D66" s="2"/>
      <c r="E66" s="2"/>
      <c r="F66" s="2"/>
      <c r="G66" s="2"/>
      <c r="H66" s="2"/>
      <c r="I66" s="469"/>
    </row>
    <row r="67" spans="1:9" x14ac:dyDescent="0.2">
      <c r="A67" s="479"/>
      <c r="B67" s="2"/>
      <c r="C67" s="2"/>
      <c r="D67" s="2"/>
      <c r="E67" s="2"/>
      <c r="F67" s="2"/>
      <c r="G67" s="2"/>
      <c r="H67" s="2"/>
      <c r="I67" s="469"/>
    </row>
    <row r="68" spans="1:9" x14ac:dyDescent="0.2">
      <c r="A68" s="479"/>
      <c r="B68" s="2"/>
      <c r="C68" s="2"/>
      <c r="D68" s="2"/>
      <c r="E68" s="2"/>
      <c r="F68" s="2"/>
      <c r="G68" s="2"/>
      <c r="H68" s="2"/>
      <c r="I68" s="469"/>
    </row>
    <row r="69" spans="1:9" x14ac:dyDescent="0.2">
      <c r="A69" s="479"/>
      <c r="B69" s="2"/>
      <c r="C69" s="2"/>
      <c r="D69" s="2"/>
      <c r="E69" s="2"/>
      <c r="F69" s="2"/>
      <c r="G69" s="2"/>
      <c r="H69" s="2"/>
      <c r="I69" s="469"/>
    </row>
    <row r="70" spans="1:9" x14ac:dyDescent="0.2">
      <c r="A70" s="479"/>
      <c r="B70" s="2"/>
      <c r="C70" s="2"/>
      <c r="D70" s="2"/>
      <c r="E70" s="2"/>
      <c r="F70" s="2"/>
      <c r="G70" s="2"/>
      <c r="H70" s="2"/>
      <c r="I70" s="469"/>
    </row>
    <row r="71" spans="1:9" x14ac:dyDescent="0.2">
      <c r="A71" s="479"/>
      <c r="B71" s="2"/>
      <c r="C71" s="2"/>
      <c r="D71" s="2"/>
      <c r="E71" s="2"/>
      <c r="F71" s="2"/>
      <c r="G71" s="2"/>
      <c r="H71" s="2"/>
      <c r="I71" s="469"/>
    </row>
    <row r="72" spans="1:9" x14ac:dyDescent="0.2">
      <c r="A72" s="479"/>
      <c r="B72" s="2"/>
      <c r="C72" s="2"/>
      <c r="D72" s="2"/>
      <c r="E72" s="2"/>
      <c r="F72" s="2"/>
      <c r="G72" s="2"/>
      <c r="H72" s="2"/>
      <c r="I72" s="469"/>
    </row>
    <row r="73" spans="1:9" x14ac:dyDescent="0.2">
      <c r="A73" s="479"/>
      <c r="B73" s="2"/>
      <c r="C73" s="2"/>
      <c r="D73" s="2"/>
      <c r="E73" s="2"/>
      <c r="F73" s="2"/>
      <c r="G73" s="2"/>
      <c r="H73" s="2"/>
      <c r="I73" s="469"/>
    </row>
    <row r="74" spans="1:9" x14ac:dyDescent="0.2">
      <c r="A74" s="478"/>
      <c r="B74" s="2"/>
      <c r="C74" s="2"/>
      <c r="D74" s="2"/>
      <c r="E74" s="2"/>
      <c r="F74" s="2"/>
      <c r="G74" s="2"/>
      <c r="H74" s="2"/>
      <c r="I74" s="469"/>
    </row>
    <row r="75" spans="1:9" x14ac:dyDescent="0.2">
      <c r="A75" s="478"/>
      <c r="B75" s="2"/>
      <c r="C75" s="2"/>
      <c r="D75" s="2"/>
      <c r="E75" s="2"/>
      <c r="F75" s="2"/>
      <c r="G75" s="2"/>
      <c r="H75" s="2"/>
      <c r="I75" s="469"/>
    </row>
    <row r="76" spans="1:9" x14ac:dyDescent="0.2">
      <c r="A76" s="478"/>
      <c r="B76" s="2"/>
      <c r="C76" s="2"/>
      <c r="D76" s="2"/>
      <c r="E76" s="2"/>
      <c r="F76" s="2"/>
      <c r="G76" s="2"/>
      <c r="H76" s="2"/>
      <c r="I76" s="469"/>
    </row>
    <row r="77" spans="1:9" x14ac:dyDescent="0.2">
      <c r="A77" s="478"/>
      <c r="B77" s="2"/>
      <c r="C77" s="2"/>
      <c r="D77" s="2"/>
      <c r="E77" s="2"/>
      <c r="F77" s="2"/>
      <c r="G77" s="2"/>
      <c r="H77" s="2"/>
      <c r="I77" s="469"/>
    </row>
    <row r="78" spans="1:9" x14ac:dyDescent="0.2">
      <c r="A78" s="478"/>
      <c r="B78" s="2"/>
      <c r="C78" s="2"/>
      <c r="D78" s="2"/>
      <c r="E78" s="2"/>
      <c r="F78" s="2"/>
      <c r="G78" s="2"/>
      <c r="H78" s="2"/>
      <c r="I78" s="469"/>
    </row>
    <row r="79" spans="1:9" x14ac:dyDescent="0.2">
      <c r="A79" s="478"/>
      <c r="B79" s="2"/>
      <c r="C79" s="2"/>
      <c r="D79" s="2"/>
      <c r="E79" s="2"/>
      <c r="F79" s="2"/>
      <c r="G79" s="2"/>
      <c r="H79" s="2"/>
      <c r="I79" s="469"/>
    </row>
    <row r="80" spans="1:9" x14ac:dyDescent="0.2">
      <c r="A80" s="478"/>
      <c r="B80" s="2"/>
      <c r="C80" s="2"/>
      <c r="D80" s="2"/>
      <c r="E80" s="2"/>
      <c r="F80" s="2"/>
      <c r="G80" s="2"/>
      <c r="H80" s="2"/>
      <c r="I80" s="469"/>
    </row>
    <row r="81" spans="1:9" x14ac:dyDescent="0.2">
      <c r="A81" s="478"/>
      <c r="B81" s="2"/>
      <c r="C81" s="2"/>
      <c r="D81" s="2"/>
      <c r="E81" s="2"/>
      <c r="F81" s="2"/>
      <c r="G81" s="2"/>
      <c r="H81" s="2"/>
      <c r="I81" s="469"/>
    </row>
    <row r="82" spans="1:9" x14ac:dyDescent="0.2">
      <c r="A82" s="478"/>
      <c r="B82" s="2"/>
      <c r="C82" s="2"/>
      <c r="D82" s="2"/>
      <c r="E82" s="2"/>
      <c r="F82" s="2"/>
      <c r="G82" s="2"/>
      <c r="H82" s="2"/>
      <c r="I82" s="469"/>
    </row>
    <row r="83" spans="1:9" x14ac:dyDescent="0.2">
      <c r="A83" s="478"/>
      <c r="B83" s="2"/>
      <c r="C83" s="2"/>
      <c r="D83" s="2"/>
      <c r="E83" s="2"/>
      <c r="F83" s="2"/>
      <c r="G83" s="2"/>
      <c r="H83" s="2"/>
      <c r="I83" s="469"/>
    </row>
    <row r="84" spans="1:9" x14ac:dyDescent="0.2">
      <c r="A84" s="478"/>
      <c r="B84" s="2"/>
      <c r="C84" s="2"/>
      <c r="D84" s="2"/>
      <c r="E84" s="2"/>
      <c r="F84" s="2"/>
      <c r="G84" s="2"/>
      <c r="H84" s="2"/>
      <c r="I84" s="469"/>
    </row>
    <row r="85" spans="1:9" x14ac:dyDescent="0.2">
      <c r="A85" s="478"/>
      <c r="B85" s="2"/>
      <c r="C85" s="2"/>
      <c r="D85" s="2"/>
      <c r="E85" s="2"/>
      <c r="F85" s="2"/>
      <c r="G85" s="2"/>
      <c r="H85" s="2"/>
      <c r="I85" s="469"/>
    </row>
    <row r="86" spans="1:9" x14ac:dyDescent="0.2">
      <c r="A86" s="478"/>
      <c r="B86" s="2"/>
      <c r="C86" s="2"/>
      <c r="D86" s="2"/>
      <c r="E86" s="2"/>
      <c r="F86" s="2"/>
      <c r="G86" s="2"/>
      <c r="H86" s="2"/>
      <c r="I86" s="469"/>
    </row>
    <row r="87" spans="1:9" s="482" customFormat="1" ht="38.25" x14ac:dyDescent="0.2">
      <c r="A87" s="615" t="s">
        <v>429</v>
      </c>
      <c r="B87" s="616"/>
      <c r="C87" s="617" t="s">
        <v>428</v>
      </c>
      <c r="D87" s="618" t="s">
        <v>430</v>
      </c>
      <c r="E87" s="551" t="s">
        <v>452</v>
      </c>
      <c r="F87" s="613" t="s">
        <v>444</v>
      </c>
      <c r="G87" s="484" t="s">
        <v>431</v>
      </c>
      <c r="H87" s="483" t="s">
        <v>454</v>
      </c>
      <c r="I87" s="481"/>
    </row>
    <row r="88" spans="1:9" x14ac:dyDescent="0.2">
      <c r="A88" s="139" t="s">
        <v>425</v>
      </c>
      <c r="B88" s="23"/>
      <c r="C88" s="510">
        <v>590</v>
      </c>
      <c r="D88" s="511">
        <f>C88*$F$88/$G$88</f>
        <v>567.38456613940093</v>
      </c>
      <c r="E88" s="546">
        <f>C88*$F$88/$H$88</f>
        <v>567.42694644962671</v>
      </c>
      <c r="F88" s="614">
        <v>180.26</v>
      </c>
      <c r="G88" s="485">
        <v>187.44499999999999</v>
      </c>
      <c r="H88" s="512">
        <v>187.43100000000001</v>
      </c>
      <c r="I88" s="469"/>
    </row>
    <row r="89" spans="1:9" x14ac:dyDescent="0.2">
      <c r="A89" s="139" t="s">
        <v>426</v>
      </c>
      <c r="B89" s="23"/>
      <c r="C89" s="510">
        <v>1800</v>
      </c>
      <c r="D89" s="511">
        <f>C89*$F$88/$G$88</f>
        <v>1731.0037611032569</v>
      </c>
      <c r="E89" s="546">
        <f>C89*$F$88/$H$88</f>
        <v>1731.1330569649631</v>
      </c>
      <c r="F89" s="30"/>
      <c r="G89" s="30"/>
      <c r="H89" s="30"/>
      <c r="I89" s="469"/>
    </row>
    <row r="90" spans="1:9" x14ac:dyDescent="0.2">
      <c r="A90" s="139" t="s">
        <v>427</v>
      </c>
      <c r="B90" s="23"/>
      <c r="C90" s="510">
        <v>1100</v>
      </c>
      <c r="D90" s="511">
        <f>C90*$F$88/$G$88</f>
        <v>1057.8356317853238</v>
      </c>
      <c r="E90" s="546">
        <f>C90*$F$88/$H$88</f>
        <v>1057.914645923033</v>
      </c>
      <c r="F90" s="30"/>
      <c r="I90" s="469"/>
    </row>
    <row r="91" spans="1:9" x14ac:dyDescent="0.2">
      <c r="A91" s="293" t="s">
        <v>453</v>
      </c>
      <c r="B91" s="488"/>
      <c r="C91" s="298">
        <v>1015</v>
      </c>
      <c r="D91" s="298">
        <v>1015</v>
      </c>
      <c r="E91" s="528">
        <f>C91*G88/H88</f>
        <v>1015.075814566427</v>
      </c>
      <c r="F91" s="2"/>
      <c r="G91" s="2"/>
      <c r="H91" s="2"/>
      <c r="I91" s="469"/>
    </row>
    <row r="92" spans="1:9" x14ac:dyDescent="0.2">
      <c r="A92" s="113"/>
      <c r="B92" s="30"/>
      <c r="C92" s="30"/>
      <c r="D92" s="2"/>
      <c r="E92" s="2"/>
      <c r="F92" s="2"/>
      <c r="G92" s="2"/>
      <c r="H92" s="2"/>
      <c r="I92" s="469"/>
    </row>
    <row r="93" spans="1:9" x14ac:dyDescent="0.2">
      <c r="A93" s="622"/>
      <c r="B93" s="623" t="s">
        <v>354</v>
      </c>
      <c r="C93" s="624">
        <f>AVERAGE(E88,E89,E90,E91)</f>
        <v>1092.8876159760125</v>
      </c>
      <c r="D93" s="467"/>
      <c r="E93" s="467"/>
      <c r="F93" s="467"/>
      <c r="G93" s="467"/>
      <c r="H93" s="467"/>
      <c r="I93" s="468"/>
    </row>
    <row r="94" spans="1:9" x14ac:dyDescent="0.2">
      <c r="A94" s="622"/>
      <c r="B94" s="623"/>
      <c r="C94" s="624"/>
      <c r="D94" s="467"/>
      <c r="E94" s="467"/>
      <c r="F94" s="467"/>
      <c r="G94" s="467"/>
      <c r="H94" s="467"/>
      <c r="I94" s="2"/>
    </row>
    <row r="95" spans="1:9" ht="20.25" x14ac:dyDescent="0.3">
      <c r="A95" s="625" t="s">
        <v>363</v>
      </c>
      <c r="B95" s="297"/>
      <c r="C95" s="298"/>
      <c r="D95" s="143"/>
      <c r="E95" s="143"/>
      <c r="F95" s="143"/>
      <c r="G95" s="143"/>
      <c r="H95" s="143"/>
    </row>
    <row r="96" spans="1:9" x14ac:dyDescent="0.2">
      <c r="A96" s="475"/>
      <c r="B96" s="476"/>
      <c r="C96" s="477"/>
      <c r="D96" s="302"/>
      <c r="E96" s="302"/>
      <c r="F96" s="302"/>
      <c r="G96" s="302"/>
      <c r="H96" s="302"/>
      <c r="I96" s="303"/>
    </row>
    <row r="97" spans="1:9" ht="15" x14ac:dyDescent="0.25">
      <c r="A97" s="474" t="s">
        <v>611</v>
      </c>
      <c r="B97" s="20"/>
      <c r="C97" s="20"/>
      <c r="D97" s="20"/>
      <c r="E97" s="20"/>
      <c r="F97" s="20"/>
      <c r="G97" s="20"/>
      <c r="H97" s="20"/>
      <c r="I97" s="152"/>
    </row>
    <row r="98" spans="1:9" x14ac:dyDescent="0.2">
      <c r="A98" s="139" t="s">
        <v>251</v>
      </c>
      <c r="B98" s="20"/>
      <c r="C98" s="20"/>
      <c r="D98" s="20"/>
      <c r="E98" s="20"/>
      <c r="F98" s="20"/>
      <c r="G98" s="20"/>
      <c r="H98" s="20"/>
      <c r="I98" s="152"/>
    </row>
    <row r="99" spans="1:9" x14ac:dyDescent="0.2">
      <c r="A99" s="139" t="s">
        <v>249</v>
      </c>
      <c r="B99" s="20"/>
      <c r="C99" s="20"/>
      <c r="D99" s="20"/>
      <c r="E99" s="20"/>
      <c r="F99" s="20"/>
      <c r="G99" s="20"/>
      <c r="H99" s="20"/>
      <c r="I99" s="152"/>
    </row>
    <row r="100" spans="1:9" x14ac:dyDescent="0.2">
      <c r="A100" s="296" t="s">
        <v>250</v>
      </c>
      <c r="B100" s="20"/>
      <c r="C100" s="20"/>
      <c r="D100" s="20"/>
      <c r="E100" s="20"/>
      <c r="F100" s="20"/>
      <c r="G100" s="20"/>
      <c r="H100" s="20"/>
      <c r="I100" s="152"/>
    </row>
    <row r="101" spans="1:9" x14ac:dyDescent="0.2">
      <c r="A101" s="296" t="s">
        <v>509</v>
      </c>
      <c r="B101" s="20"/>
      <c r="C101" s="20"/>
      <c r="D101" s="20"/>
      <c r="E101" s="20"/>
      <c r="F101" s="20"/>
      <c r="G101" s="20"/>
      <c r="H101" s="20"/>
      <c r="I101" s="152"/>
    </row>
    <row r="102" spans="1:9" x14ac:dyDescent="0.2">
      <c r="A102" s="296" t="s">
        <v>252</v>
      </c>
      <c r="B102" s="20"/>
      <c r="C102" s="20"/>
      <c r="D102" s="20"/>
      <c r="E102" s="20"/>
      <c r="F102" s="20"/>
      <c r="G102" s="20"/>
      <c r="H102" s="20"/>
      <c r="I102" s="152"/>
    </row>
    <row r="103" spans="1:9" x14ac:dyDescent="0.2">
      <c r="A103" s="139" t="s">
        <v>346</v>
      </c>
      <c r="B103" s="20"/>
      <c r="C103" s="20"/>
      <c r="D103" s="20"/>
      <c r="E103" s="20"/>
      <c r="F103" s="20"/>
      <c r="G103" s="20"/>
      <c r="H103" s="20"/>
      <c r="I103" s="152"/>
    </row>
    <row r="104" spans="1:9" ht="25.5" x14ac:dyDescent="0.2">
      <c r="A104" s="252" t="s">
        <v>335</v>
      </c>
      <c r="B104" s="252" t="s">
        <v>348</v>
      </c>
      <c r="C104" s="252" t="s">
        <v>347</v>
      </c>
      <c r="D104" s="254" t="s">
        <v>610</v>
      </c>
      <c r="E104" s="20"/>
      <c r="F104" s="20"/>
      <c r="G104" s="20"/>
      <c r="H104" s="20"/>
      <c r="I104" s="152"/>
    </row>
    <row r="105" spans="1:9" x14ac:dyDescent="0.2">
      <c r="A105" s="253" t="s">
        <v>336</v>
      </c>
      <c r="B105" s="253">
        <v>75</v>
      </c>
      <c r="C105" s="253">
        <v>75</v>
      </c>
      <c r="D105" s="629">
        <f>B105/C105</f>
        <v>1</v>
      </c>
      <c r="E105" s="20"/>
      <c r="F105" s="20"/>
      <c r="G105" s="20"/>
      <c r="H105" s="20"/>
      <c r="I105" s="152"/>
    </row>
    <row r="106" spans="1:9" x14ac:dyDescent="0.2">
      <c r="A106" s="253" t="s">
        <v>337</v>
      </c>
      <c r="B106" s="253">
        <v>66</v>
      </c>
      <c r="C106" s="253">
        <v>66.5</v>
      </c>
      <c r="D106" s="629">
        <f t="shared" ref="D106:D114" si="2">B106/C106</f>
        <v>0.99248120300751874</v>
      </c>
      <c r="E106" s="299"/>
      <c r="F106" s="20"/>
      <c r="G106" s="20"/>
      <c r="H106" s="20"/>
      <c r="I106" s="152"/>
    </row>
    <row r="107" spans="1:9" x14ac:dyDescent="0.2">
      <c r="A107" s="253" t="s">
        <v>338</v>
      </c>
      <c r="B107" s="253">
        <v>165</v>
      </c>
      <c r="C107" s="253">
        <v>83</v>
      </c>
      <c r="D107" s="629">
        <f t="shared" si="2"/>
        <v>1.9879518072289157</v>
      </c>
      <c r="E107" s="20"/>
      <c r="F107" s="20"/>
      <c r="G107" s="20"/>
      <c r="H107" s="20"/>
      <c r="I107" s="152"/>
    </row>
    <row r="108" spans="1:9" x14ac:dyDescent="0.2">
      <c r="A108" s="253" t="s">
        <v>339</v>
      </c>
      <c r="B108" s="253">
        <v>172</v>
      </c>
      <c r="C108" s="253">
        <v>102</v>
      </c>
      <c r="D108" s="629">
        <f t="shared" si="2"/>
        <v>1.6862745098039216</v>
      </c>
      <c r="E108" s="20"/>
      <c r="F108" s="20"/>
      <c r="G108" s="20"/>
      <c r="H108" s="20"/>
      <c r="I108" s="152"/>
    </row>
    <row r="109" spans="1:9" x14ac:dyDescent="0.2">
      <c r="A109" s="253" t="s">
        <v>340</v>
      </c>
      <c r="B109" s="253">
        <v>23.7</v>
      </c>
      <c r="C109" s="253">
        <v>48</v>
      </c>
      <c r="D109" s="629">
        <f t="shared" si="2"/>
        <v>0.49374999999999997</v>
      </c>
      <c r="E109" s="20"/>
      <c r="F109" s="20"/>
      <c r="G109" s="20"/>
      <c r="H109" s="20"/>
      <c r="I109" s="152"/>
    </row>
    <row r="110" spans="1:9" x14ac:dyDescent="0.2">
      <c r="A110" s="253" t="s">
        <v>341</v>
      </c>
      <c r="B110" s="253">
        <v>607.20000000000005</v>
      </c>
      <c r="C110" s="253">
        <v>18</v>
      </c>
      <c r="D110" s="629">
        <f t="shared" si="2"/>
        <v>33.733333333333334</v>
      </c>
      <c r="E110" s="20"/>
      <c r="F110" s="20"/>
      <c r="G110" s="20"/>
      <c r="H110" s="20"/>
      <c r="I110" s="152"/>
    </row>
    <row r="111" spans="1:9" x14ac:dyDescent="0.2">
      <c r="A111" s="253" t="s">
        <v>342</v>
      </c>
      <c r="B111" s="253">
        <v>328.4</v>
      </c>
      <c r="C111" s="253">
        <v>32</v>
      </c>
      <c r="D111" s="629">
        <f t="shared" si="2"/>
        <v>10.262499999999999</v>
      </c>
      <c r="E111" s="20"/>
      <c r="F111" s="20"/>
      <c r="G111" s="20"/>
      <c r="H111" s="20"/>
      <c r="I111" s="152"/>
    </row>
    <row r="112" spans="1:9" x14ac:dyDescent="0.2">
      <c r="A112" s="253" t="s">
        <v>343</v>
      </c>
      <c r="B112" s="253">
        <v>462</v>
      </c>
      <c r="C112" s="253">
        <v>30</v>
      </c>
      <c r="D112" s="629">
        <f t="shared" si="2"/>
        <v>15.4</v>
      </c>
      <c r="E112" s="20"/>
      <c r="F112" s="20"/>
      <c r="G112" s="20"/>
      <c r="H112" s="20"/>
      <c r="I112" s="152"/>
    </row>
    <row r="113" spans="1:16" x14ac:dyDescent="0.2">
      <c r="A113" s="253" t="s">
        <v>344</v>
      </c>
      <c r="B113" s="253">
        <v>212.6</v>
      </c>
      <c r="C113" s="253">
        <v>30</v>
      </c>
      <c r="D113" s="629">
        <f t="shared" si="2"/>
        <v>7.0866666666666669</v>
      </c>
      <c r="E113" s="20"/>
      <c r="F113" s="20"/>
      <c r="G113" s="20"/>
      <c r="H113" s="20"/>
      <c r="I113" s="152"/>
    </row>
    <row r="114" spans="1:16" x14ac:dyDescent="0.2">
      <c r="A114" s="253" t="s">
        <v>345</v>
      </c>
      <c r="B114" s="253">
        <v>367.1</v>
      </c>
      <c r="C114" s="253">
        <v>110</v>
      </c>
      <c r="D114" s="629">
        <f t="shared" si="2"/>
        <v>3.3372727272727274</v>
      </c>
      <c r="E114" s="560"/>
      <c r="F114" s="561"/>
      <c r="G114" s="561"/>
      <c r="H114" s="561"/>
      <c r="I114" s="562"/>
    </row>
    <row r="115" spans="1:16" x14ac:dyDescent="0.2">
      <c r="A115" s="479"/>
      <c r="B115" s="2"/>
      <c r="C115" s="2"/>
      <c r="D115" s="2"/>
      <c r="E115" s="2"/>
      <c r="F115" s="2"/>
      <c r="G115" s="2"/>
      <c r="H115" s="2"/>
      <c r="I115" s="469"/>
    </row>
    <row r="116" spans="1:16" ht="18" customHeight="1" x14ac:dyDescent="0.2">
      <c r="A116" s="478" t="s">
        <v>615</v>
      </c>
      <c r="B116" s="2"/>
      <c r="C116" s="2"/>
      <c r="D116" s="2"/>
      <c r="E116" s="2"/>
      <c r="F116" s="2"/>
      <c r="G116" s="2"/>
      <c r="H116" s="2"/>
      <c r="I116" s="469"/>
    </row>
    <row r="117" spans="1:16" ht="58.5" customHeight="1" x14ac:dyDescent="0.2">
      <c r="A117" s="712" t="s">
        <v>616</v>
      </c>
      <c r="B117" s="713"/>
      <c r="C117" s="713"/>
      <c r="D117" s="713"/>
      <c r="E117" s="713"/>
      <c r="F117" s="713"/>
      <c r="G117" s="713"/>
      <c r="H117" s="713"/>
      <c r="I117" s="468"/>
    </row>
    <row r="118" spans="1:16" x14ac:dyDescent="0.2">
      <c r="A118" s="455"/>
      <c r="I118" s="460"/>
      <c r="J118" s="460"/>
      <c r="K118" s="460"/>
      <c r="L118" s="460"/>
      <c r="M118" s="460"/>
      <c r="N118" s="460"/>
      <c r="O118" s="460"/>
      <c r="P118" s="555"/>
    </row>
    <row r="119" spans="1:16" ht="15" x14ac:dyDescent="0.25">
      <c r="A119" s="495" t="s">
        <v>458</v>
      </c>
      <c r="B119" s="2"/>
      <c r="C119" s="2"/>
      <c r="D119" s="2"/>
      <c r="E119" s="2"/>
      <c r="F119" s="2"/>
      <c r="G119" s="2"/>
      <c r="H119" s="2"/>
      <c r="I119" s="2"/>
      <c r="J119" s="2"/>
      <c r="K119" s="2"/>
      <c r="L119" s="2"/>
      <c r="M119" s="2"/>
      <c r="N119" s="2"/>
      <c r="O119" s="2"/>
      <c r="P119" s="469"/>
    </row>
    <row r="120" spans="1:16" x14ac:dyDescent="0.2">
      <c r="A120" s="548" t="s">
        <v>229</v>
      </c>
      <c r="B120" s="300" t="s">
        <v>223</v>
      </c>
      <c r="C120" s="300" t="s">
        <v>324</v>
      </c>
      <c r="D120" s="551" t="s">
        <v>228</v>
      </c>
      <c r="E120" s="556"/>
      <c r="F120" s="557"/>
      <c r="G120" s="558"/>
      <c r="H120" s="558"/>
      <c r="I120" s="558"/>
      <c r="J120" s="558"/>
      <c r="K120" s="558"/>
      <c r="L120" s="558"/>
      <c r="M120" s="558"/>
      <c r="N120" s="558"/>
      <c r="O120" s="558"/>
      <c r="P120" s="559"/>
    </row>
    <row r="121" spans="1:16" x14ac:dyDescent="0.2">
      <c r="A121" s="307" t="s">
        <v>224</v>
      </c>
      <c r="B121" s="554" t="s">
        <v>225</v>
      </c>
      <c r="C121" s="552" t="s">
        <v>325</v>
      </c>
      <c r="D121" s="546">
        <f>AVERAGE(98,99)</f>
        <v>98.5</v>
      </c>
      <c r="E121" s="308"/>
      <c r="F121" s="25"/>
      <c r="G121" s="480"/>
      <c r="H121" s="21"/>
      <c r="I121" s="21"/>
      <c r="J121" s="21"/>
      <c r="K121" s="21"/>
      <c r="L121" s="21"/>
      <c r="M121" s="21"/>
      <c r="N121" s="21"/>
      <c r="O121" s="21"/>
      <c r="P121" s="306"/>
    </row>
    <row r="122" spans="1:16" x14ac:dyDescent="0.2">
      <c r="A122" s="307" t="s">
        <v>226</v>
      </c>
      <c r="B122" s="554" t="s">
        <v>227</v>
      </c>
      <c r="C122" s="552" t="s">
        <v>443</v>
      </c>
      <c r="D122" s="546">
        <f>AVERAGE(50,92)</f>
        <v>71</v>
      </c>
      <c r="E122" s="308"/>
      <c r="F122" s="25"/>
      <c r="G122" s="480"/>
      <c r="H122" s="25"/>
      <c r="I122" s="21"/>
      <c r="J122" s="21"/>
      <c r="K122" s="21"/>
      <c r="L122" s="21"/>
      <c r="M122" s="21"/>
      <c r="N122" s="21"/>
      <c r="O122" s="21"/>
      <c r="P122" s="306"/>
    </row>
    <row r="123" spans="1:16" ht="17.25" customHeight="1" x14ac:dyDescent="0.2">
      <c r="A123" s="509"/>
      <c r="B123" s="553"/>
      <c r="C123" s="553"/>
      <c r="D123" s="547">
        <f>(D121/100)*(D122/100)</f>
        <v>0.69934999999999992</v>
      </c>
      <c r="E123" s="25" t="s">
        <v>326</v>
      </c>
      <c r="F123" s="25"/>
      <c r="G123" s="480"/>
      <c r="H123" s="480"/>
      <c r="I123" s="21"/>
      <c r="J123" s="21"/>
      <c r="K123" s="21"/>
      <c r="L123" s="21"/>
      <c r="M123" s="21"/>
      <c r="N123" s="21"/>
      <c r="O123" s="21"/>
      <c r="P123" s="306"/>
    </row>
    <row r="124" spans="1:16" ht="17.25" customHeight="1" x14ac:dyDescent="0.2">
      <c r="A124" s="725" t="s">
        <v>244</v>
      </c>
      <c r="B124" s="726"/>
      <c r="C124" s="726"/>
      <c r="D124" s="726"/>
      <c r="E124" s="726"/>
      <c r="F124" s="726"/>
      <c r="G124" s="726"/>
      <c r="H124" s="480"/>
      <c r="I124" s="21"/>
      <c r="J124" s="21"/>
      <c r="K124" s="21"/>
      <c r="L124" s="21"/>
      <c r="M124" s="21"/>
      <c r="N124" s="21"/>
      <c r="O124" s="21"/>
      <c r="P124" s="306"/>
    </row>
    <row r="125" spans="1:16" ht="17.25" customHeight="1" x14ac:dyDescent="0.2">
      <c r="A125" s="725" t="s">
        <v>283</v>
      </c>
      <c r="B125" s="726"/>
      <c r="C125" s="726"/>
      <c r="D125" s="726"/>
      <c r="E125" s="726"/>
      <c r="F125" s="726"/>
      <c r="G125" s="726"/>
      <c r="H125" s="480"/>
      <c r="I125" s="21"/>
      <c r="J125" s="21"/>
      <c r="K125" s="21"/>
      <c r="L125" s="21"/>
      <c r="M125" s="21"/>
      <c r="N125" s="21"/>
      <c r="O125" s="21"/>
      <c r="P125" s="306"/>
    </row>
    <row r="126" spans="1:16" ht="17.25" customHeight="1" x14ac:dyDescent="0.2">
      <c r="A126" s="486" t="s">
        <v>479</v>
      </c>
      <c r="B126" s="487"/>
      <c r="C126" s="487"/>
      <c r="D126" s="487"/>
      <c r="E126" s="487"/>
      <c r="F126" s="487"/>
      <c r="G126" s="487"/>
      <c r="H126" s="480"/>
      <c r="I126" s="21"/>
      <c r="J126" s="21"/>
      <c r="K126" s="21"/>
      <c r="L126" s="21"/>
      <c r="M126" s="21"/>
      <c r="N126" s="21"/>
      <c r="O126" s="21"/>
      <c r="P126" s="306"/>
    </row>
    <row r="127" spans="1:16" ht="17.25" customHeight="1" x14ac:dyDescent="0.2">
      <c r="A127" s="309"/>
      <c r="B127" s="21"/>
      <c r="C127" s="21"/>
      <c r="D127" s="541"/>
      <c r="E127" s="25"/>
      <c r="F127" s="25"/>
      <c r="G127" s="480"/>
      <c r="H127" s="480"/>
      <c r="I127" s="21"/>
      <c r="J127" s="21"/>
      <c r="K127" s="21"/>
      <c r="L127" s="21"/>
      <c r="M127" s="21"/>
      <c r="N127" s="21"/>
      <c r="O127" s="21"/>
      <c r="P127" s="306"/>
    </row>
    <row r="128" spans="1:16" ht="17.25" customHeight="1" x14ac:dyDescent="0.2">
      <c r="A128" s="549" t="s">
        <v>480</v>
      </c>
      <c r="B128" s="303"/>
      <c r="C128" s="21"/>
      <c r="D128" s="21"/>
      <c r="E128" s="311"/>
      <c r="F128" s="25"/>
      <c r="G128" s="541"/>
      <c r="H128" s="25"/>
      <c r="I128" s="21"/>
      <c r="J128" s="21"/>
      <c r="K128" s="21"/>
      <c r="L128" s="21"/>
      <c r="M128" s="21"/>
      <c r="N128" s="21"/>
      <c r="O128" s="21"/>
      <c r="P128" s="306"/>
    </row>
    <row r="129" spans="1:16" ht="17.25" customHeight="1" x14ac:dyDescent="0.2">
      <c r="A129" s="550" t="s">
        <v>481</v>
      </c>
      <c r="B129" s="333"/>
      <c r="C129" s="21"/>
      <c r="D129" s="21"/>
      <c r="E129" s="311"/>
      <c r="F129" s="25"/>
      <c r="G129" s="541"/>
      <c r="H129" s="25"/>
      <c r="I129" s="21"/>
      <c r="J129" s="21"/>
      <c r="K129" s="21"/>
      <c r="L129" s="21"/>
      <c r="M129" s="21"/>
      <c r="N129" s="21"/>
      <c r="O129" s="21"/>
      <c r="P129" s="306"/>
    </row>
    <row r="130" spans="1:16" x14ac:dyDescent="0.2">
      <c r="A130" s="725"/>
      <c r="B130" s="726"/>
      <c r="C130" s="726"/>
      <c r="D130" s="726"/>
      <c r="E130" s="726"/>
      <c r="F130" s="726"/>
      <c r="G130" s="726"/>
      <c r="H130" s="21"/>
      <c r="I130" s="21"/>
      <c r="J130" s="21"/>
      <c r="K130" s="21"/>
      <c r="L130" s="21"/>
      <c r="M130" s="21"/>
      <c r="N130" s="21"/>
      <c r="O130" s="21"/>
      <c r="P130" s="306"/>
    </row>
    <row r="131" spans="1:16" x14ac:dyDescent="0.2">
      <c r="A131" s="520" t="s">
        <v>456</v>
      </c>
      <c r="B131" s="521"/>
      <c r="C131" s="521"/>
      <c r="D131" s="21"/>
      <c r="E131" s="21"/>
      <c r="F131" s="21"/>
      <c r="G131" s="21"/>
      <c r="H131" s="21"/>
      <c r="I131" s="21"/>
      <c r="J131" s="21"/>
      <c r="K131" s="21"/>
      <c r="L131" s="21"/>
      <c r="M131" s="21"/>
      <c r="N131" s="21"/>
      <c r="O131" s="21"/>
      <c r="P131" s="306"/>
    </row>
    <row r="132" spans="1:16" x14ac:dyDescent="0.2">
      <c r="A132" s="520" t="s">
        <v>457</v>
      </c>
      <c r="B132" s="521"/>
      <c r="C132" s="521"/>
      <c r="D132" s="21"/>
      <c r="E132" s="21"/>
      <c r="F132" s="21"/>
      <c r="G132" s="21"/>
      <c r="H132" s="21"/>
      <c r="I132" s="21"/>
      <c r="J132" s="21"/>
      <c r="K132" s="21"/>
      <c r="L132" s="21"/>
      <c r="M132" s="21"/>
      <c r="N132" s="21"/>
      <c r="O132" s="21"/>
      <c r="P132" s="306"/>
    </row>
    <row r="133" spans="1:16" x14ac:dyDescent="0.2">
      <c r="A133" s="522" t="s">
        <v>436</v>
      </c>
      <c r="B133" s="523" t="s">
        <v>432</v>
      </c>
      <c r="C133" s="524" t="s">
        <v>435</v>
      </c>
      <c r="D133" s="21"/>
      <c r="E133" s="21"/>
      <c r="F133" s="21"/>
      <c r="G133" s="21"/>
      <c r="H133" s="21"/>
      <c r="I133" s="21"/>
      <c r="J133" s="21"/>
      <c r="K133" s="21"/>
      <c r="L133" s="21"/>
      <c r="M133" s="21"/>
      <c r="N133" s="21"/>
      <c r="O133" s="21"/>
      <c r="P133" s="306"/>
    </row>
    <row r="134" spans="1:16" x14ac:dyDescent="0.2">
      <c r="A134" s="139" t="s">
        <v>433</v>
      </c>
      <c r="B134" s="521" t="s">
        <v>434</v>
      </c>
      <c r="C134" s="525">
        <v>177</v>
      </c>
      <c r="D134" s="21"/>
      <c r="E134" s="21"/>
      <c r="F134" s="21"/>
      <c r="G134" s="21"/>
      <c r="H134" s="21"/>
      <c r="I134" s="21"/>
      <c r="J134" s="21"/>
      <c r="K134" s="21"/>
      <c r="L134" s="21"/>
      <c r="M134" s="21"/>
      <c r="N134" s="21"/>
      <c r="O134" s="21"/>
      <c r="P134" s="306"/>
    </row>
    <row r="135" spans="1:16" x14ac:dyDescent="0.2">
      <c r="A135" s="526" t="s">
        <v>437</v>
      </c>
      <c r="B135" s="499" t="s">
        <v>434</v>
      </c>
      <c r="C135" s="527" t="s">
        <v>440</v>
      </c>
      <c r="D135" s="21"/>
      <c r="E135" s="21"/>
      <c r="F135" s="21"/>
      <c r="G135" s="21"/>
      <c r="H135" s="21"/>
      <c r="I135" s="21"/>
      <c r="J135" s="21"/>
      <c r="K135" s="21"/>
      <c r="L135" s="21"/>
      <c r="M135" s="21"/>
      <c r="N135" s="21"/>
      <c r="O135" s="21"/>
      <c r="P135" s="306"/>
    </row>
    <row r="136" spans="1:16" x14ac:dyDescent="0.2">
      <c r="A136" s="293"/>
      <c r="B136" s="505" t="s">
        <v>438</v>
      </c>
      <c r="C136" s="528" t="s">
        <v>441</v>
      </c>
      <c r="D136" s="21"/>
      <c r="E136" s="21"/>
      <c r="F136" s="21"/>
      <c r="G136" s="21"/>
      <c r="H136" s="21"/>
      <c r="I136" s="21"/>
      <c r="J136" s="21"/>
      <c r="K136" s="21"/>
      <c r="L136" s="21"/>
      <c r="M136" s="21"/>
      <c r="N136" s="21"/>
      <c r="O136" s="21"/>
      <c r="P136" s="306"/>
    </row>
    <row r="137" spans="1:16" x14ac:dyDescent="0.2">
      <c r="A137" s="496" t="s">
        <v>439</v>
      </c>
      <c r="B137" s="521" t="s">
        <v>434</v>
      </c>
      <c r="C137" s="525">
        <v>300</v>
      </c>
      <c r="D137" s="21"/>
      <c r="E137" s="21"/>
      <c r="F137" s="21"/>
      <c r="G137" s="21"/>
      <c r="H137" s="21"/>
      <c r="I137" s="21"/>
      <c r="J137" s="21"/>
      <c r="K137" s="21"/>
      <c r="L137" s="21"/>
      <c r="M137" s="21"/>
      <c r="N137" s="21"/>
      <c r="O137" s="21"/>
      <c r="P137" s="306"/>
    </row>
    <row r="138" spans="1:16" x14ac:dyDescent="0.2">
      <c r="A138" s="293"/>
      <c r="B138" s="505" t="s">
        <v>438</v>
      </c>
      <c r="C138" s="529">
        <v>400</v>
      </c>
      <c r="D138" s="21"/>
      <c r="E138" s="21"/>
      <c r="F138" s="21"/>
      <c r="G138" s="21"/>
      <c r="H138" s="21"/>
      <c r="I138" s="21"/>
      <c r="J138" s="21"/>
      <c r="K138" s="21"/>
      <c r="L138" s="21"/>
      <c r="M138" s="21"/>
      <c r="N138" s="21"/>
      <c r="O138" s="21"/>
      <c r="P138" s="306"/>
    </row>
    <row r="139" spans="1:16" x14ac:dyDescent="0.2">
      <c r="A139" s="139"/>
      <c r="B139" s="23"/>
      <c r="C139" s="530"/>
      <c r="D139" s="21"/>
      <c r="E139" s="21"/>
      <c r="F139" s="21"/>
      <c r="G139" s="21"/>
      <c r="H139" s="21"/>
      <c r="I139" s="21"/>
      <c r="J139" s="21"/>
      <c r="K139" s="21"/>
      <c r="L139" s="21"/>
      <c r="M139" s="21"/>
      <c r="N139" s="21"/>
      <c r="O139" s="21"/>
      <c r="P139" s="306"/>
    </row>
    <row r="140" spans="1:16" x14ac:dyDescent="0.2">
      <c r="A140" s="531" t="s">
        <v>459</v>
      </c>
      <c r="B140" s="521"/>
      <c r="C140" s="530"/>
      <c r="D140" s="21"/>
      <c r="E140" s="21"/>
      <c r="F140" s="21"/>
      <c r="G140" s="21"/>
      <c r="H140" s="21"/>
      <c r="I140" s="21"/>
      <c r="J140" s="21"/>
      <c r="K140" s="21"/>
      <c r="L140" s="21"/>
      <c r="M140" s="21"/>
      <c r="N140" s="21"/>
      <c r="O140" s="21"/>
      <c r="P140" s="306"/>
    </row>
    <row r="141" spans="1:16" x14ac:dyDescent="0.2">
      <c r="A141" s="532" t="s">
        <v>435</v>
      </c>
      <c r="B141" s="532" t="s">
        <v>460</v>
      </c>
      <c r="C141" s="530"/>
      <c r="D141" s="21"/>
      <c r="E141" s="21"/>
      <c r="F141" s="21"/>
      <c r="G141" s="21"/>
      <c r="H141" s="21"/>
      <c r="I141" s="21"/>
      <c r="J141" s="21"/>
      <c r="K141" s="21"/>
      <c r="L141" s="21"/>
      <c r="M141" s="21"/>
      <c r="N141" s="21"/>
      <c r="O141" s="21"/>
      <c r="P141" s="306"/>
    </row>
    <row r="142" spans="1:16" x14ac:dyDescent="0.2">
      <c r="A142" s="533" t="s">
        <v>461</v>
      </c>
      <c r="B142" s="533" t="s">
        <v>462</v>
      </c>
      <c r="C142" s="530"/>
      <c r="D142" s="21"/>
      <c r="E142" s="21"/>
      <c r="F142" s="21"/>
      <c r="G142" s="21"/>
      <c r="H142" s="21"/>
      <c r="I142" s="21"/>
      <c r="J142" s="21"/>
      <c r="K142" s="21"/>
      <c r="L142" s="21"/>
      <c r="M142" s="21"/>
      <c r="N142" s="21"/>
      <c r="O142" s="21"/>
      <c r="P142" s="306"/>
    </row>
    <row r="143" spans="1:16" x14ac:dyDescent="0.2">
      <c r="A143" s="139"/>
      <c r="B143" s="23"/>
      <c r="C143" s="530"/>
      <c r="D143" s="21"/>
      <c r="E143" s="21"/>
      <c r="F143" s="21"/>
      <c r="G143" s="21"/>
      <c r="H143" s="21"/>
      <c r="I143" s="21"/>
      <c r="J143" s="21"/>
      <c r="K143" s="21"/>
      <c r="L143" s="21"/>
      <c r="M143" s="21"/>
      <c r="N143" s="21"/>
      <c r="O143" s="21"/>
      <c r="P143" s="306"/>
    </row>
    <row r="144" spans="1:16" x14ac:dyDescent="0.2">
      <c r="A144" s="520" t="s">
        <v>463</v>
      </c>
      <c r="B144" s="19"/>
      <c r="C144" s="530"/>
      <c r="D144" s="21"/>
      <c r="E144" s="21"/>
      <c r="F144" s="21"/>
      <c r="G144" s="21"/>
      <c r="H144" s="21"/>
      <c r="I144" s="21"/>
      <c r="J144" s="21"/>
      <c r="K144" s="21"/>
      <c r="L144" s="21"/>
      <c r="M144" s="21"/>
      <c r="N144" s="21"/>
      <c r="O144" s="21"/>
      <c r="P144" s="306"/>
    </row>
    <row r="145" spans="1:16" x14ac:dyDescent="0.2">
      <c r="A145" s="532" t="s">
        <v>464</v>
      </c>
      <c r="B145" s="532" t="s">
        <v>435</v>
      </c>
      <c r="C145" s="530"/>
      <c r="D145" s="21"/>
      <c r="E145" s="21"/>
      <c r="F145" s="21"/>
      <c r="G145" s="21"/>
      <c r="H145" s="21"/>
      <c r="I145" s="21"/>
      <c r="J145" s="21"/>
      <c r="K145" s="21"/>
      <c r="L145" s="21"/>
      <c r="M145" s="21"/>
      <c r="N145" s="21"/>
      <c r="O145" s="21"/>
      <c r="P145" s="306"/>
    </row>
    <row r="146" spans="1:16" x14ac:dyDescent="0.2">
      <c r="A146" s="533" t="s">
        <v>434</v>
      </c>
      <c r="B146" s="535">
        <v>295</v>
      </c>
      <c r="C146" s="530"/>
      <c r="D146" s="21"/>
      <c r="E146" s="21"/>
      <c r="F146" s="21"/>
      <c r="G146" s="21"/>
      <c r="H146" s="21"/>
      <c r="I146" s="21"/>
      <c r="J146" s="21"/>
      <c r="K146" s="21"/>
      <c r="L146" s="21"/>
      <c r="M146" s="21"/>
      <c r="N146" s="21"/>
      <c r="O146" s="21"/>
      <c r="P146" s="306"/>
    </row>
    <row r="147" spans="1:16" x14ac:dyDescent="0.2">
      <c r="A147" s="533" t="s">
        <v>438</v>
      </c>
      <c r="B147" s="535">
        <v>595</v>
      </c>
      <c r="C147" s="530"/>
      <c r="D147" s="21"/>
      <c r="E147" s="21"/>
      <c r="F147" s="21"/>
      <c r="G147" s="21"/>
      <c r="H147" s="21"/>
      <c r="I147" s="21"/>
      <c r="J147" s="21"/>
      <c r="K147" s="21"/>
      <c r="L147" s="21"/>
      <c r="M147" s="21"/>
      <c r="N147" s="21"/>
      <c r="O147" s="21"/>
      <c r="P147" s="306"/>
    </row>
    <row r="148" spans="1:16" x14ac:dyDescent="0.2">
      <c r="A148" s="521"/>
      <c r="B148" s="536"/>
      <c r="C148" s="530"/>
      <c r="D148" s="21"/>
      <c r="E148" s="21"/>
      <c r="F148" s="21"/>
      <c r="G148" s="21"/>
      <c r="H148" s="21"/>
      <c r="I148" s="21"/>
      <c r="J148" s="21"/>
      <c r="K148" s="21"/>
      <c r="L148" s="21"/>
      <c r="M148" s="21"/>
      <c r="N148" s="21"/>
      <c r="O148" s="21"/>
      <c r="P148" s="306"/>
    </row>
    <row r="149" spans="1:16" x14ac:dyDescent="0.2">
      <c r="A149" s="533"/>
      <c r="B149" s="532" t="s">
        <v>465</v>
      </c>
      <c r="C149" s="530"/>
      <c r="D149" s="21"/>
      <c r="E149" s="21"/>
      <c r="F149" s="21"/>
      <c r="G149" s="21"/>
      <c r="H149" s="21"/>
      <c r="I149" s="21"/>
      <c r="J149" s="21"/>
      <c r="K149" s="21"/>
      <c r="L149" s="21"/>
      <c r="M149" s="21"/>
      <c r="N149" s="21"/>
      <c r="O149" s="21"/>
      <c r="P149" s="306"/>
    </row>
    <row r="150" spans="1:16" x14ac:dyDescent="0.2">
      <c r="A150" s="533" t="s">
        <v>466</v>
      </c>
      <c r="B150" s="533" t="s">
        <v>467</v>
      </c>
      <c r="C150" s="530"/>
      <c r="D150" s="21"/>
      <c r="E150" s="21"/>
      <c r="F150" s="21"/>
      <c r="G150" s="21"/>
      <c r="H150" s="21"/>
      <c r="I150" s="21"/>
      <c r="J150" s="21"/>
      <c r="K150" s="21"/>
      <c r="L150" s="21"/>
      <c r="M150" s="21"/>
      <c r="N150" s="21"/>
      <c r="O150" s="21"/>
      <c r="P150" s="306"/>
    </row>
    <row r="151" spans="1:16" x14ac:dyDescent="0.2">
      <c r="A151" s="533" t="s">
        <v>468</v>
      </c>
      <c r="B151" s="533" t="s">
        <v>227</v>
      </c>
      <c r="C151" s="530"/>
      <c r="D151" s="21"/>
      <c r="E151" s="21"/>
      <c r="F151" s="21"/>
      <c r="G151" s="21"/>
      <c r="H151" s="21"/>
      <c r="I151" s="21"/>
      <c r="J151" s="21"/>
      <c r="K151" s="21"/>
      <c r="L151" s="21"/>
      <c r="M151" s="21"/>
      <c r="N151" s="21"/>
      <c r="O151" s="21"/>
      <c r="P151" s="306"/>
    </row>
    <row r="152" spans="1:16" x14ac:dyDescent="0.2">
      <c r="A152" s="139"/>
      <c r="B152" s="23"/>
      <c r="C152" s="530"/>
      <c r="D152" s="21"/>
      <c r="E152" s="21"/>
      <c r="F152" s="21"/>
      <c r="G152" s="21"/>
      <c r="H152" s="21"/>
      <c r="I152" s="21"/>
      <c r="J152" s="21"/>
      <c r="K152" s="21"/>
      <c r="L152" s="21"/>
      <c r="M152" s="21"/>
      <c r="N152" s="21"/>
      <c r="O152" s="21"/>
      <c r="P152" s="306"/>
    </row>
    <row r="153" spans="1:16" x14ac:dyDescent="0.2">
      <c r="A153" s="520" t="s">
        <v>469</v>
      </c>
      <c r="B153" s="521"/>
      <c r="C153" s="534"/>
      <c r="D153" s="19"/>
      <c r="E153" s="21"/>
      <c r="F153" s="21"/>
      <c r="G153" s="21"/>
      <c r="H153" s="21"/>
      <c r="I153" s="21"/>
      <c r="J153" s="21"/>
      <c r="K153" s="21"/>
      <c r="L153" s="21"/>
      <c r="M153" s="21"/>
      <c r="N153" s="21"/>
      <c r="O153" s="21"/>
      <c r="P153" s="306"/>
    </row>
    <row r="154" spans="1:16" x14ac:dyDescent="0.2">
      <c r="A154" s="532" t="s">
        <v>470</v>
      </c>
      <c r="B154" s="739" t="s">
        <v>471</v>
      </c>
      <c r="C154" s="740"/>
      <c r="D154" s="19"/>
      <c r="E154" s="21"/>
      <c r="F154" s="21"/>
      <c r="G154" s="21"/>
      <c r="H154" s="21"/>
      <c r="I154" s="21"/>
      <c r="J154" s="21"/>
      <c r="K154" s="21"/>
      <c r="L154" s="21"/>
      <c r="M154" s="21"/>
      <c r="N154" s="21"/>
      <c r="O154" s="21"/>
      <c r="P154" s="306"/>
    </row>
    <row r="155" spans="1:16" ht="54" customHeight="1" x14ac:dyDescent="0.2">
      <c r="A155" s="537" t="s">
        <v>476</v>
      </c>
      <c r="B155" s="724" t="s">
        <v>472</v>
      </c>
      <c r="C155" s="724"/>
      <c r="D155" s="19"/>
      <c r="E155" s="21"/>
      <c r="F155" s="21"/>
      <c r="G155" s="21"/>
      <c r="H155" s="21"/>
      <c r="I155" s="21"/>
      <c r="J155" s="21"/>
      <c r="K155" s="21"/>
      <c r="L155" s="21"/>
      <c r="M155" s="21"/>
      <c r="N155" s="21"/>
      <c r="O155" s="21"/>
      <c r="P155" s="306"/>
    </row>
    <row r="156" spans="1:16" ht="32.25" customHeight="1" x14ac:dyDescent="0.2">
      <c r="A156" s="535" t="s">
        <v>473</v>
      </c>
      <c r="B156" s="724" t="s">
        <v>474</v>
      </c>
      <c r="C156" s="724"/>
      <c r="D156" s="19"/>
      <c r="E156" s="21"/>
      <c r="F156" s="21"/>
      <c r="G156" s="21"/>
      <c r="H156" s="21"/>
      <c r="I156" s="21"/>
      <c r="J156" s="21"/>
      <c r="K156" s="21"/>
      <c r="L156" s="21"/>
      <c r="M156" s="21"/>
      <c r="N156" s="21"/>
      <c r="O156" s="21"/>
      <c r="P156" s="306"/>
    </row>
    <row r="157" spans="1:16" ht="51" x14ac:dyDescent="0.2">
      <c r="A157" s="543" t="s">
        <v>477</v>
      </c>
      <c r="B157" s="544">
        <f>350+347*0.01+74*0.75/1000</f>
        <v>353.52550000000002</v>
      </c>
      <c r="C157" s="545" t="s">
        <v>478</v>
      </c>
      <c r="D157" s="21"/>
      <c r="E157" s="21"/>
      <c r="F157" s="21"/>
      <c r="G157" s="21"/>
      <c r="H157" s="21"/>
      <c r="I157" s="21"/>
      <c r="J157" s="21"/>
      <c r="K157" s="21"/>
      <c r="L157" s="21"/>
      <c r="M157" s="21"/>
      <c r="N157" s="21"/>
      <c r="O157" s="21"/>
      <c r="P157" s="306"/>
    </row>
    <row r="158" spans="1:16" x14ac:dyDescent="0.2">
      <c r="A158" s="139"/>
      <c r="B158" s="23"/>
      <c r="C158" s="530"/>
      <c r="D158" s="21"/>
      <c r="E158" s="21"/>
      <c r="F158" s="21"/>
      <c r="G158" s="21"/>
      <c r="H158" s="21"/>
      <c r="I158" s="21"/>
      <c r="J158" s="21"/>
      <c r="K158" s="21"/>
      <c r="L158" s="21"/>
      <c r="M158" s="21"/>
      <c r="N158" s="21"/>
      <c r="O158" s="21"/>
      <c r="P158" s="306"/>
    </row>
    <row r="159" spans="1:16" x14ac:dyDescent="0.2">
      <c r="A159" s="582" t="s">
        <v>499</v>
      </c>
      <c r="B159" s="505"/>
      <c r="C159" s="583"/>
      <c r="D159" s="21"/>
      <c r="E159" s="21"/>
      <c r="F159" s="21"/>
      <c r="G159" s="21"/>
      <c r="H159" s="21"/>
      <c r="I159" s="21"/>
      <c r="J159" s="21"/>
      <c r="K159" s="21"/>
      <c r="L159" s="21"/>
      <c r="M159" s="21"/>
      <c r="N159" s="21"/>
      <c r="O159" s="21"/>
      <c r="P159" s="306"/>
    </row>
    <row r="160" spans="1:16" x14ac:dyDescent="0.2">
      <c r="A160" s="139" t="s">
        <v>502</v>
      </c>
      <c r="B160" s="137">
        <v>3000</v>
      </c>
      <c r="C160" s="525"/>
      <c r="D160" s="21"/>
      <c r="E160" s="21"/>
      <c r="F160" s="21"/>
      <c r="G160" s="21"/>
      <c r="H160" s="21"/>
      <c r="I160" s="21"/>
      <c r="J160" s="21"/>
      <c r="K160" s="21"/>
      <c r="L160" s="21"/>
      <c r="M160" s="21"/>
      <c r="N160" s="21"/>
      <c r="O160" s="21"/>
      <c r="P160" s="306"/>
    </row>
    <row r="161" spans="1:16" x14ac:dyDescent="0.2">
      <c r="A161" s="139" t="s">
        <v>503</v>
      </c>
      <c r="B161" s="137"/>
      <c r="C161" s="525"/>
      <c r="D161" s="21"/>
      <c r="E161" s="21"/>
      <c r="F161" s="21"/>
      <c r="G161" s="21"/>
      <c r="H161" s="21"/>
      <c r="I161" s="21"/>
      <c r="J161" s="21"/>
      <c r="K161" s="21"/>
      <c r="L161" s="21"/>
      <c r="M161" s="21"/>
      <c r="N161" s="21"/>
      <c r="O161" s="21"/>
      <c r="P161" s="306"/>
    </row>
    <row r="162" spans="1:16" x14ac:dyDescent="0.2">
      <c r="A162" s="139" t="s">
        <v>505</v>
      </c>
      <c r="B162" s="78">
        <f>(1-1/((1+0.035)^10))/0.035</f>
        <v>8.3166053225779368</v>
      </c>
      <c r="C162" s="525"/>
      <c r="D162" s="21"/>
      <c r="E162" s="21"/>
      <c r="F162" s="21"/>
      <c r="G162" s="21"/>
      <c r="H162" s="21"/>
      <c r="I162" s="21"/>
      <c r="J162" s="21"/>
      <c r="K162" s="21"/>
      <c r="L162" s="21"/>
      <c r="M162" s="21"/>
      <c r="N162" s="21"/>
      <c r="O162" s="21"/>
      <c r="P162" s="306"/>
    </row>
    <row r="163" spans="1:16" x14ac:dyDescent="0.2">
      <c r="A163" s="139" t="s">
        <v>504</v>
      </c>
      <c r="B163" s="137">
        <f>B160/B162</f>
        <v>360.72410360217458</v>
      </c>
      <c r="C163" s="525"/>
      <c r="D163" s="21"/>
      <c r="E163" s="21"/>
      <c r="F163" s="21"/>
      <c r="G163" s="21"/>
      <c r="H163" s="21"/>
      <c r="I163" s="21"/>
      <c r="J163" s="21"/>
      <c r="K163" s="21"/>
      <c r="L163" s="21"/>
      <c r="M163" s="21"/>
      <c r="N163" s="21"/>
      <c r="O163" s="21"/>
      <c r="P163" s="306"/>
    </row>
    <row r="164" spans="1:16" x14ac:dyDescent="0.2">
      <c r="A164" s="139" t="s">
        <v>500</v>
      </c>
      <c r="B164" s="137">
        <v>183000</v>
      </c>
      <c r="C164" s="525"/>
      <c r="D164" s="21"/>
      <c r="E164" s="21"/>
      <c r="F164" s="21"/>
      <c r="G164" s="21"/>
      <c r="H164" s="21"/>
      <c r="I164" s="21"/>
      <c r="J164" s="21"/>
      <c r="K164" s="21"/>
      <c r="L164" s="21"/>
      <c r="M164" s="21"/>
      <c r="N164" s="21"/>
      <c r="O164" s="21"/>
      <c r="P164" s="306"/>
    </row>
    <row r="165" spans="1:16" x14ac:dyDescent="0.2">
      <c r="A165" s="139" t="s">
        <v>501</v>
      </c>
      <c r="B165" s="23">
        <v>720</v>
      </c>
      <c r="C165" s="525"/>
      <c r="D165" s="21"/>
      <c r="E165" s="21"/>
      <c r="F165" s="21"/>
      <c r="G165" s="21"/>
      <c r="H165" s="21"/>
      <c r="I165" s="21"/>
      <c r="J165" s="21"/>
      <c r="K165" s="21"/>
      <c r="L165" s="21"/>
      <c r="M165" s="21"/>
      <c r="N165" s="21"/>
      <c r="O165" s="21"/>
      <c r="P165" s="306"/>
    </row>
    <row r="166" spans="1:16" x14ac:dyDescent="0.2">
      <c r="A166" s="127" t="s">
        <v>506</v>
      </c>
      <c r="B166" s="580">
        <f>(B163+B164)/B165</f>
        <v>254.66767236611412</v>
      </c>
      <c r="C166" s="581"/>
      <c r="D166" s="21"/>
      <c r="E166" s="21"/>
      <c r="F166" s="21"/>
      <c r="G166" s="21"/>
      <c r="H166" s="21"/>
      <c r="I166" s="21"/>
      <c r="J166" s="21"/>
      <c r="K166" s="21"/>
      <c r="L166" s="21"/>
      <c r="M166" s="21"/>
      <c r="N166" s="21"/>
      <c r="O166" s="21"/>
      <c r="P166" s="306"/>
    </row>
    <row r="167" spans="1:16" x14ac:dyDescent="0.2">
      <c r="A167" s="139"/>
      <c r="B167" s="23"/>
      <c r="C167" s="530"/>
      <c r="D167" s="21"/>
      <c r="E167" s="21"/>
      <c r="F167" s="21"/>
      <c r="G167" s="21"/>
      <c r="H167" s="21"/>
      <c r="I167" s="21"/>
      <c r="J167" s="21"/>
      <c r="K167" s="21"/>
      <c r="L167" s="21"/>
      <c r="M167" s="21"/>
      <c r="N167" s="21"/>
      <c r="O167" s="21"/>
      <c r="P167" s="306"/>
    </row>
    <row r="168" spans="1:16" ht="15" x14ac:dyDescent="0.25">
      <c r="A168" s="474" t="s">
        <v>475</v>
      </c>
      <c r="B168" s="21"/>
      <c r="C168" s="21"/>
      <c r="D168" s="21"/>
      <c r="E168" s="21"/>
      <c r="F168" s="21"/>
      <c r="G168" s="21"/>
      <c r="H168" s="21"/>
      <c r="I168" s="21"/>
      <c r="J168" s="21"/>
      <c r="K168" s="21"/>
      <c r="L168" s="21"/>
      <c r="M168" s="21"/>
      <c r="N168" s="21"/>
      <c r="O168" s="21"/>
      <c r="P168" s="306"/>
    </row>
    <row r="169" spans="1:16" x14ac:dyDescent="0.2">
      <c r="A169" s="310" t="s">
        <v>284</v>
      </c>
      <c r="B169" s="21"/>
      <c r="C169" s="21"/>
      <c r="D169" s="21"/>
      <c r="E169" s="21"/>
      <c r="F169" s="21"/>
      <c r="G169" s="21"/>
      <c r="H169" s="21"/>
      <c r="I169" s="21"/>
      <c r="J169" s="21"/>
      <c r="K169" s="21"/>
      <c r="L169" s="21"/>
      <c r="M169" s="21"/>
      <c r="N169" s="21"/>
      <c r="O169" s="21"/>
      <c r="P169" s="306"/>
    </row>
    <row r="170" spans="1:16" x14ac:dyDescent="0.2">
      <c r="A170" s="301" t="s">
        <v>85</v>
      </c>
      <c r="B170" s="490" t="s">
        <v>86</v>
      </c>
      <c r="C170" s="490" t="s">
        <v>87</v>
      </c>
      <c r="D170" s="490" t="s">
        <v>88</v>
      </c>
      <c r="E170" s="490" t="s">
        <v>89</v>
      </c>
      <c r="F170" s="491" t="s">
        <v>90</v>
      </c>
      <c r="G170" s="311"/>
      <c r="H170" s="311"/>
      <c r="I170" s="21"/>
      <c r="J170" s="21"/>
      <c r="K170" s="21"/>
      <c r="L170" s="21"/>
      <c r="M170" s="21"/>
      <c r="N170" s="21"/>
      <c r="O170" s="21"/>
      <c r="P170" s="306"/>
    </row>
    <row r="171" spans="1:16" ht="14.25" customHeight="1" x14ac:dyDescent="0.2">
      <c r="A171" s="728" t="s">
        <v>93</v>
      </c>
      <c r="B171" s="732" t="s">
        <v>110</v>
      </c>
      <c r="C171" s="489" t="s">
        <v>230</v>
      </c>
      <c r="D171" s="489">
        <v>1</v>
      </c>
      <c r="E171" s="492">
        <v>3695</v>
      </c>
      <c r="F171" s="734" t="s">
        <v>422</v>
      </c>
      <c r="G171" s="324"/>
      <c r="H171" s="324"/>
      <c r="I171" s="21"/>
      <c r="J171" s="21"/>
      <c r="K171" s="21"/>
      <c r="L171" s="21"/>
      <c r="M171" s="21"/>
      <c r="N171" s="21"/>
      <c r="O171" s="21"/>
      <c r="P171" s="306"/>
    </row>
    <row r="172" spans="1:16" x14ac:dyDescent="0.2">
      <c r="A172" s="729"/>
      <c r="B172" s="733"/>
      <c r="C172" s="25" t="s">
        <v>95</v>
      </c>
      <c r="D172" s="25"/>
      <c r="E172" s="493">
        <v>35</v>
      </c>
      <c r="F172" s="735"/>
      <c r="G172" s="324"/>
      <c r="H172" s="324"/>
      <c r="I172" s="21"/>
      <c r="J172" s="21"/>
      <c r="K172" s="21"/>
      <c r="L172" s="21"/>
      <c r="M172" s="21"/>
      <c r="N172" s="21"/>
      <c r="O172" s="21"/>
      <c r="P172" s="306"/>
    </row>
    <row r="173" spans="1:16" x14ac:dyDescent="0.2">
      <c r="A173" s="729"/>
      <c r="B173" s="25"/>
      <c r="C173" s="25" t="s">
        <v>231</v>
      </c>
      <c r="D173" s="25">
        <v>1</v>
      </c>
      <c r="E173" s="493">
        <v>3750</v>
      </c>
      <c r="F173" s="735"/>
      <c r="G173" s="324"/>
      <c r="H173" s="324"/>
      <c r="I173" s="21"/>
      <c r="J173" s="21"/>
      <c r="K173" s="21"/>
      <c r="L173" s="21"/>
      <c r="M173" s="21"/>
      <c r="N173" s="21"/>
      <c r="O173" s="21"/>
      <c r="P173" s="306"/>
    </row>
    <row r="174" spans="1:16" x14ac:dyDescent="0.2">
      <c r="A174" s="729"/>
      <c r="B174" s="25"/>
      <c r="C174" s="25" t="s">
        <v>96</v>
      </c>
      <c r="D174" s="25"/>
      <c r="E174" s="493">
        <v>75</v>
      </c>
      <c r="F174" s="735"/>
      <c r="G174" s="324"/>
      <c r="H174" s="324"/>
      <c r="I174" s="21"/>
      <c r="J174" s="21"/>
      <c r="K174" s="21"/>
      <c r="L174" s="21"/>
      <c r="M174" s="21"/>
      <c r="N174" s="21"/>
      <c r="O174" s="21"/>
      <c r="P174" s="306"/>
    </row>
    <row r="175" spans="1:16" x14ac:dyDescent="0.2">
      <c r="A175" s="729"/>
      <c r="B175" s="25"/>
      <c r="C175" s="25" t="s">
        <v>97</v>
      </c>
      <c r="D175" s="25"/>
      <c r="E175" s="493">
        <v>95</v>
      </c>
      <c r="F175" s="735"/>
      <c r="G175" s="324"/>
      <c r="H175" s="324"/>
      <c r="I175" s="21"/>
      <c r="J175" s="21"/>
      <c r="K175" s="21"/>
      <c r="L175" s="21"/>
      <c r="M175" s="21"/>
      <c r="N175" s="21"/>
      <c r="O175" s="21"/>
      <c r="P175" s="306"/>
    </row>
    <row r="176" spans="1:16" x14ac:dyDescent="0.2">
      <c r="A176" s="729"/>
      <c r="B176" s="25"/>
      <c r="C176" s="25" t="s">
        <v>98</v>
      </c>
      <c r="D176" s="25"/>
      <c r="E176" s="493">
        <v>30</v>
      </c>
      <c r="F176" s="735"/>
      <c r="G176" s="324"/>
      <c r="H176" s="324"/>
      <c r="I176" s="21"/>
      <c r="J176" s="21"/>
      <c r="K176" s="21"/>
      <c r="L176" s="21"/>
      <c r="M176" s="21"/>
      <c r="N176" s="21"/>
      <c r="O176" s="21"/>
      <c r="P176" s="306"/>
    </row>
    <row r="177" spans="1:16" x14ac:dyDescent="0.2">
      <c r="A177" s="729"/>
      <c r="B177" s="25"/>
      <c r="C177" s="25" t="s">
        <v>232</v>
      </c>
      <c r="D177" s="25">
        <v>1</v>
      </c>
      <c r="E177" s="493">
        <v>5995</v>
      </c>
      <c r="F177" s="735"/>
      <c r="G177" s="324"/>
      <c r="H177" s="324"/>
      <c r="I177" s="21"/>
      <c r="J177" s="21"/>
      <c r="K177" s="21"/>
      <c r="L177" s="21"/>
      <c r="M177" s="21"/>
      <c r="N177" s="21"/>
      <c r="O177" s="21"/>
      <c r="P177" s="306"/>
    </row>
    <row r="178" spans="1:16" x14ac:dyDescent="0.2">
      <c r="A178" s="729"/>
      <c r="B178" s="25"/>
      <c r="C178" s="25" t="s">
        <v>99</v>
      </c>
      <c r="D178" s="25"/>
      <c r="E178" s="493">
        <v>750</v>
      </c>
      <c r="F178" s="735"/>
      <c r="G178" s="324"/>
      <c r="H178" s="324"/>
      <c r="I178" s="21"/>
      <c r="J178" s="21"/>
      <c r="K178" s="21"/>
      <c r="L178" s="21"/>
      <c r="M178" s="21"/>
      <c r="N178" s="21"/>
      <c r="O178" s="21"/>
      <c r="P178" s="306"/>
    </row>
    <row r="179" spans="1:16" x14ac:dyDescent="0.2">
      <c r="A179" s="729"/>
      <c r="B179" s="25"/>
      <c r="C179" s="25" t="s">
        <v>96</v>
      </c>
      <c r="D179" s="25"/>
      <c r="E179" s="493">
        <v>105</v>
      </c>
      <c r="F179" s="735"/>
      <c r="G179" s="324"/>
      <c r="H179" s="324"/>
      <c r="I179" s="21"/>
      <c r="J179" s="21"/>
      <c r="K179" s="21"/>
      <c r="L179" s="21"/>
      <c r="M179" s="21"/>
      <c r="N179" s="21"/>
      <c r="O179" s="21"/>
      <c r="P179" s="306"/>
    </row>
    <row r="180" spans="1:16" x14ac:dyDescent="0.2">
      <c r="A180" s="730"/>
      <c r="B180" s="488"/>
      <c r="C180" s="488" t="s">
        <v>97</v>
      </c>
      <c r="D180" s="488"/>
      <c r="E180" s="494">
        <v>125</v>
      </c>
      <c r="F180" s="735"/>
      <c r="G180" s="324"/>
      <c r="H180" s="324"/>
      <c r="I180" s="21"/>
      <c r="J180" s="21"/>
      <c r="K180" s="21"/>
      <c r="L180" s="21"/>
      <c r="M180" s="21"/>
      <c r="N180" s="21"/>
      <c r="O180" s="21"/>
      <c r="P180" s="306"/>
    </row>
    <row r="181" spans="1:16" ht="21" customHeight="1" x14ac:dyDescent="0.2">
      <c r="A181" s="728" t="s">
        <v>100</v>
      </c>
      <c r="B181" s="489" t="s">
        <v>101</v>
      </c>
      <c r="C181" s="489" t="s">
        <v>233</v>
      </c>
      <c r="D181" s="489">
        <v>3</v>
      </c>
      <c r="E181" s="492">
        <v>8495</v>
      </c>
      <c r="F181" s="735"/>
      <c r="G181" s="538"/>
      <c r="H181" s="324"/>
      <c r="I181" s="21"/>
      <c r="J181" s="21"/>
      <c r="K181" s="21"/>
      <c r="L181" s="21"/>
      <c r="M181" s="21"/>
      <c r="N181" s="21"/>
      <c r="O181" s="21"/>
      <c r="P181" s="306"/>
    </row>
    <row r="182" spans="1:16" ht="18.75" customHeight="1" x14ac:dyDescent="0.2">
      <c r="A182" s="729"/>
      <c r="B182" s="25"/>
      <c r="C182" s="25" t="s">
        <v>234</v>
      </c>
      <c r="D182" s="25">
        <v>8</v>
      </c>
      <c r="E182" s="493">
        <v>15995</v>
      </c>
      <c r="F182" s="735"/>
      <c r="G182" s="538"/>
      <c r="H182" s="324"/>
      <c r="I182" s="21"/>
      <c r="J182" s="21"/>
      <c r="K182" s="21"/>
      <c r="L182" s="21"/>
      <c r="M182" s="21"/>
      <c r="N182" s="21"/>
      <c r="O182" s="21"/>
      <c r="P182" s="306"/>
    </row>
    <row r="183" spans="1:16" ht="21" customHeight="1" x14ac:dyDescent="0.2">
      <c r="A183" s="730"/>
      <c r="B183" s="488"/>
      <c r="C183" s="488" t="s">
        <v>102</v>
      </c>
      <c r="D183" s="488">
        <v>4</v>
      </c>
      <c r="E183" s="494">
        <v>32000</v>
      </c>
      <c r="F183" s="736"/>
      <c r="G183" s="538"/>
      <c r="H183" s="324"/>
      <c r="I183" s="21"/>
      <c r="J183" s="21"/>
      <c r="K183" s="21"/>
      <c r="L183" s="21"/>
      <c r="M183" s="21"/>
      <c r="N183" s="21"/>
      <c r="O183" s="21"/>
      <c r="P183" s="306"/>
    </row>
    <row r="184" spans="1:16" x14ac:dyDescent="0.2">
      <c r="A184" s="307"/>
      <c r="B184" s="25"/>
      <c r="C184" s="25"/>
      <c r="D184" s="25"/>
      <c r="E184" s="312"/>
      <c r="F184" s="445"/>
      <c r="G184" s="25"/>
      <c r="H184" s="25"/>
      <c r="I184" s="21"/>
      <c r="J184" s="21"/>
      <c r="K184" s="21"/>
      <c r="L184" s="21"/>
      <c r="M184" s="21"/>
      <c r="N184" s="21"/>
      <c r="O184" s="21"/>
      <c r="P184" s="306"/>
    </row>
    <row r="185" spans="1:16" x14ac:dyDescent="0.2">
      <c r="A185" s="307"/>
      <c r="B185" s="25" t="s">
        <v>103</v>
      </c>
      <c r="C185" s="25"/>
      <c r="D185" s="25"/>
      <c r="E185" s="25"/>
      <c r="F185" s="25"/>
      <c r="G185" s="25"/>
      <c r="H185" s="25"/>
      <c r="I185" s="21"/>
      <c r="J185" s="21"/>
      <c r="K185" s="21"/>
      <c r="L185" s="21"/>
      <c r="M185" s="21"/>
      <c r="N185" s="21"/>
      <c r="O185" s="21"/>
      <c r="P185" s="306"/>
    </row>
    <row r="186" spans="1:16" x14ac:dyDescent="0.2">
      <c r="A186" s="307"/>
      <c r="B186" s="25" t="s">
        <v>104</v>
      </c>
      <c r="C186" s="25"/>
      <c r="D186" s="25"/>
      <c r="E186" s="25"/>
      <c r="F186" s="25"/>
      <c r="G186" s="25"/>
      <c r="H186" s="25"/>
      <c r="I186" s="21"/>
      <c r="J186" s="21"/>
      <c r="K186" s="21"/>
      <c r="L186" s="21"/>
      <c r="M186" s="21"/>
      <c r="N186" s="21"/>
      <c r="O186" s="21"/>
      <c r="P186" s="306"/>
    </row>
    <row r="187" spans="1:16" x14ac:dyDescent="0.2">
      <c r="A187" s="307"/>
      <c r="B187" s="25" t="s">
        <v>105</v>
      </c>
      <c r="C187" s="25"/>
      <c r="D187" s="25"/>
      <c r="E187" s="25"/>
      <c r="F187" s="25"/>
      <c r="G187" s="25"/>
      <c r="H187" s="25"/>
      <c r="I187" s="21"/>
      <c r="J187" s="21"/>
      <c r="K187" s="21"/>
      <c r="L187" s="21"/>
      <c r="M187" s="21"/>
      <c r="N187" s="21"/>
      <c r="O187" s="21"/>
      <c r="P187" s="306"/>
    </row>
    <row r="188" spans="1:16" x14ac:dyDescent="0.2">
      <c r="A188" s="307"/>
      <c r="B188" s="25" t="s">
        <v>106</v>
      </c>
      <c r="C188" s="25"/>
      <c r="D188" s="25"/>
      <c r="E188" s="25"/>
      <c r="F188" s="25"/>
      <c r="G188" s="25"/>
      <c r="H188" s="25"/>
      <c r="I188" s="21"/>
      <c r="J188" s="21"/>
      <c r="K188" s="21"/>
      <c r="L188" s="21"/>
      <c r="M188" s="21"/>
      <c r="N188" s="21"/>
      <c r="O188" s="21"/>
      <c r="P188" s="306"/>
    </row>
    <row r="189" spans="1:16" x14ac:dyDescent="0.2">
      <c r="A189" s="307"/>
      <c r="B189" s="25" t="s">
        <v>107</v>
      </c>
      <c r="C189" s="25"/>
      <c r="D189" s="25"/>
      <c r="E189" s="25"/>
      <c r="F189" s="25"/>
      <c r="G189" s="25"/>
      <c r="H189" s="25"/>
      <c r="I189" s="21"/>
      <c r="J189" s="21"/>
      <c r="K189" s="21"/>
      <c r="L189" s="21"/>
      <c r="M189" s="21"/>
      <c r="N189" s="21"/>
      <c r="O189" s="21"/>
      <c r="P189" s="306"/>
    </row>
    <row r="190" spans="1:16" x14ac:dyDescent="0.2">
      <c r="A190" s="307"/>
      <c r="B190" s="25" t="s">
        <v>108</v>
      </c>
      <c r="C190" s="25"/>
      <c r="D190" s="25"/>
      <c r="E190" s="25"/>
      <c r="F190" s="25"/>
      <c r="G190" s="25"/>
      <c r="H190" s="25"/>
      <c r="I190" s="21"/>
      <c r="J190" s="21"/>
      <c r="K190" s="21"/>
      <c r="L190" s="21"/>
      <c r="M190" s="21"/>
      <c r="N190" s="21"/>
      <c r="O190" s="21"/>
      <c r="P190" s="306"/>
    </row>
    <row r="191" spans="1:16" x14ac:dyDescent="0.2">
      <c r="A191" s="307"/>
      <c r="B191" s="313" t="s">
        <v>109</v>
      </c>
      <c r="C191" s="25"/>
      <c r="D191" s="25"/>
      <c r="E191" s="25"/>
      <c r="F191" s="25"/>
      <c r="G191" s="25"/>
      <c r="H191" s="25"/>
      <c r="I191" s="21"/>
      <c r="J191" s="21"/>
      <c r="K191" s="21"/>
      <c r="L191" s="21"/>
      <c r="M191" s="21"/>
      <c r="N191" s="21"/>
      <c r="O191" s="21"/>
      <c r="P191" s="306"/>
    </row>
    <row r="192" spans="1:16" x14ac:dyDescent="0.2">
      <c r="A192" s="307"/>
      <c r="B192" s="313"/>
      <c r="C192" s="25"/>
      <c r="D192" s="25"/>
      <c r="E192" s="25"/>
      <c r="F192" s="25"/>
      <c r="G192" s="25"/>
      <c r="H192" s="25"/>
      <c r="I192" s="21"/>
      <c r="J192" s="21"/>
      <c r="K192" s="21"/>
      <c r="L192" s="21"/>
      <c r="M192" s="21"/>
      <c r="N192" s="21"/>
      <c r="O192" s="21"/>
      <c r="P192" s="306"/>
    </row>
    <row r="193" spans="1:16" s="19" customFormat="1" x14ac:dyDescent="0.2">
      <c r="A193" s="310" t="s">
        <v>285</v>
      </c>
      <c r="B193" s="21"/>
      <c r="C193" s="21"/>
      <c r="D193" s="21"/>
      <c r="E193" s="21"/>
      <c r="F193" s="21"/>
      <c r="G193" s="21"/>
      <c r="H193" s="21"/>
      <c r="I193" s="311"/>
      <c r="J193" s="311"/>
      <c r="K193" s="311"/>
      <c r="L193" s="311"/>
      <c r="M193" s="21"/>
      <c r="N193" s="21"/>
      <c r="O193" s="21"/>
      <c r="P193" s="306"/>
    </row>
    <row r="194" spans="1:16" x14ac:dyDescent="0.2">
      <c r="A194" s="307" t="s">
        <v>85</v>
      </c>
      <c r="B194" s="311" t="s">
        <v>86</v>
      </c>
      <c r="C194" s="311" t="s">
        <v>87</v>
      </c>
      <c r="D194" s="311" t="s">
        <v>88</v>
      </c>
      <c r="E194" s="311" t="s">
        <v>89</v>
      </c>
      <c r="F194" s="311"/>
      <c r="G194" s="311"/>
      <c r="H194" s="311"/>
      <c r="I194" s="311"/>
      <c r="J194" s="311"/>
      <c r="K194" s="480"/>
      <c r="L194" s="480"/>
      <c r="M194" s="21"/>
      <c r="N194" s="21"/>
      <c r="O194" s="21"/>
      <c r="P194" s="306"/>
    </row>
    <row r="195" spans="1:16" ht="14.25" customHeight="1" x14ac:dyDescent="0.2">
      <c r="A195" s="723" t="s">
        <v>116</v>
      </c>
      <c r="B195" s="25" t="s">
        <v>235</v>
      </c>
      <c r="C195" s="25" t="s">
        <v>117</v>
      </c>
      <c r="D195" s="737" t="s">
        <v>442</v>
      </c>
      <c r="E195" s="312">
        <v>1415</v>
      </c>
      <c r="F195" s="312"/>
      <c r="G195" s="312"/>
      <c r="H195" s="312"/>
      <c r="I195" s="312"/>
      <c r="J195" s="312"/>
      <c r="K195" s="539"/>
      <c r="L195" s="539"/>
      <c r="M195" s="21"/>
      <c r="N195" s="21"/>
      <c r="O195" s="21"/>
      <c r="P195" s="306"/>
    </row>
    <row r="196" spans="1:16" x14ac:dyDescent="0.2">
      <c r="A196" s="723"/>
      <c r="B196" s="25"/>
      <c r="C196" s="25" t="s">
        <v>118</v>
      </c>
      <c r="D196" s="737"/>
      <c r="E196" s="312">
        <v>1885</v>
      </c>
      <c r="F196" s="312"/>
      <c r="G196" s="312"/>
      <c r="H196" s="312"/>
      <c r="I196" s="312"/>
      <c r="J196" s="312"/>
      <c r="K196" s="539"/>
      <c r="L196" s="539"/>
      <c r="M196" s="21"/>
      <c r="N196" s="21"/>
      <c r="O196" s="21"/>
      <c r="P196" s="306"/>
    </row>
    <row r="197" spans="1:16" x14ac:dyDescent="0.2">
      <c r="A197" s="723"/>
      <c r="B197" s="25"/>
      <c r="C197" s="25" t="s">
        <v>119</v>
      </c>
      <c r="D197" s="737"/>
      <c r="E197" s="312">
        <v>1969</v>
      </c>
      <c r="F197" s="312"/>
      <c r="G197" s="312"/>
      <c r="H197" s="312"/>
      <c r="I197" s="312"/>
      <c r="J197" s="312"/>
      <c r="K197" s="539"/>
      <c r="L197" s="539"/>
      <c r="M197" s="21"/>
      <c r="N197" s="21"/>
      <c r="O197" s="21"/>
      <c r="P197" s="306"/>
    </row>
    <row r="198" spans="1:16" x14ac:dyDescent="0.2">
      <c r="A198" s="723"/>
      <c r="B198" s="25" t="s">
        <v>236</v>
      </c>
      <c r="C198" s="25" t="s">
        <v>120</v>
      </c>
      <c r="D198" s="737"/>
      <c r="E198" s="312">
        <v>1766</v>
      </c>
      <c r="F198" s="312"/>
      <c r="G198" s="312"/>
      <c r="H198" s="312"/>
      <c r="I198" s="312"/>
      <c r="J198" s="312"/>
      <c r="K198" s="539"/>
      <c r="L198" s="539"/>
      <c r="M198" s="21"/>
      <c r="N198" s="21"/>
      <c r="O198" s="21"/>
      <c r="P198" s="306"/>
    </row>
    <row r="199" spans="1:16" x14ac:dyDescent="0.2">
      <c r="A199" s="723"/>
      <c r="B199" s="25"/>
      <c r="C199" s="25" t="s">
        <v>121</v>
      </c>
      <c r="D199" s="737"/>
      <c r="E199" s="312">
        <v>2236</v>
      </c>
      <c r="F199" s="312"/>
      <c r="G199" s="312"/>
      <c r="H199" s="312"/>
      <c r="I199" s="312"/>
      <c r="J199" s="312"/>
      <c r="K199" s="539"/>
      <c r="L199" s="539"/>
      <c r="M199" s="21"/>
      <c r="N199" s="21"/>
      <c r="O199" s="21"/>
      <c r="P199" s="306"/>
    </row>
    <row r="200" spans="1:16" x14ac:dyDescent="0.2">
      <c r="A200" s="723"/>
      <c r="B200" s="25"/>
      <c r="C200" s="25" t="s">
        <v>122</v>
      </c>
      <c r="D200" s="737"/>
      <c r="E200" s="312">
        <v>2320</v>
      </c>
      <c r="F200" s="312"/>
      <c r="G200" s="312"/>
      <c r="H200" s="312"/>
      <c r="I200" s="312"/>
      <c r="J200" s="312"/>
      <c r="K200" s="539"/>
      <c r="L200" s="539"/>
      <c r="M200" s="21"/>
      <c r="N200" s="21"/>
      <c r="O200" s="21"/>
      <c r="P200" s="306"/>
    </row>
    <row r="201" spans="1:16" x14ac:dyDescent="0.2">
      <c r="A201" s="723"/>
      <c r="B201" s="25" t="s">
        <v>237</v>
      </c>
      <c r="C201" s="25" t="s">
        <v>123</v>
      </c>
      <c r="D201" s="737"/>
      <c r="E201" s="312">
        <v>2352</v>
      </c>
      <c r="F201" s="312"/>
      <c r="G201" s="312"/>
      <c r="H201" s="312"/>
      <c r="I201" s="312"/>
      <c r="J201" s="312"/>
      <c r="K201" s="539"/>
      <c r="L201" s="539"/>
      <c r="M201" s="21"/>
      <c r="N201" s="21"/>
      <c r="O201" s="21"/>
      <c r="P201" s="306"/>
    </row>
    <row r="202" spans="1:16" x14ac:dyDescent="0.2">
      <c r="A202" s="723"/>
      <c r="B202" s="25"/>
      <c r="C202" s="25" t="s">
        <v>124</v>
      </c>
      <c r="D202" s="737"/>
      <c r="E202" s="312">
        <v>2634</v>
      </c>
      <c r="F202" s="312"/>
      <c r="G202" s="312"/>
      <c r="H202" s="312"/>
      <c r="I202" s="312"/>
      <c r="J202" s="312"/>
      <c r="K202" s="539"/>
      <c r="L202" s="539"/>
      <c r="M202" s="21"/>
      <c r="N202" s="21"/>
      <c r="O202" s="21"/>
      <c r="P202" s="306"/>
    </row>
    <row r="203" spans="1:16" x14ac:dyDescent="0.2">
      <c r="A203" s="723"/>
      <c r="B203" s="25"/>
      <c r="C203" s="25" t="s">
        <v>125</v>
      </c>
      <c r="D203" s="737"/>
      <c r="E203" s="312">
        <v>3049</v>
      </c>
      <c r="F203" s="312"/>
      <c r="G203" s="312"/>
      <c r="H203" s="312"/>
      <c r="I203" s="312"/>
      <c r="J203" s="312"/>
      <c r="K203" s="539"/>
      <c r="L203" s="539"/>
      <c r="M203" s="21"/>
      <c r="N203" s="21"/>
      <c r="O203" s="21"/>
      <c r="P203" s="306"/>
    </row>
    <row r="204" spans="1:16" x14ac:dyDescent="0.2">
      <c r="A204" s="723"/>
      <c r="B204" s="25" t="s">
        <v>238</v>
      </c>
      <c r="C204" s="25" t="s">
        <v>126</v>
      </c>
      <c r="D204" s="737"/>
      <c r="E204" s="312">
        <v>2885</v>
      </c>
      <c r="F204" s="312"/>
      <c r="G204" s="312"/>
      <c r="H204" s="312"/>
      <c r="I204" s="312"/>
      <c r="J204" s="312"/>
      <c r="K204" s="539"/>
      <c r="L204" s="539"/>
      <c r="M204" s="21"/>
      <c r="N204" s="21"/>
      <c r="O204" s="21"/>
      <c r="P204" s="306"/>
    </row>
    <row r="205" spans="1:16" x14ac:dyDescent="0.2">
      <c r="A205" s="723"/>
      <c r="B205" s="25"/>
      <c r="C205" s="25" t="s">
        <v>127</v>
      </c>
      <c r="D205" s="737"/>
      <c r="E205" s="312">
        <v>3167</v>
      </c>
      <c r="F205" s="312"/>
      <c r="G205" s="312"/>
      <c r="H205" s="312"/>
      <c r="I205" s="312"/>
      <c r="J205" s="312"/>
      <c r="K205" s="539"/>
      <c r="L205" s="539"/>
      <c r="M205" s="21"/>
      <c r="N205" s="21"/>
      <c r="O205" s="21"/>
      <c r="P205" s="306"/>
    </row>
    <row r="206" spans="1:16" x14ac:dyDescent="0.2">
      <c r="A206" s="723"/>
      <c r="B206" s="25"/>
      <c r="C206" s="25" t="s">
        <v>128</v>
      </c>
      <c r="D206" s="737"/>
      <c r="E206" s="312">
        <v>3581</v>
      </c>
      <c r="F206" s="312"/>
      <c r="G206" s="312"/>
      <c r="H206" s="312"/>
      <c r="I206" s="312"/>
      <c r="J206" s="312"/>
      <c r="K206" s="539"/>
      <c r="L206" s="539"/>
      <c r="M206" s="21"/>
      <c r="N206" s="21"/>
      <c r="O206" s="21"/>
      <c r="P206" s="306"/>
    </row>
    <row r="207" spans="1:16" x14ac:dyDescent="0.2">
      <c r="A207" s="723"/>
      <c r="B207" s="25" t="s">
        <v>129</v>
      </c>
      <c r="C207" s="25" t="s">
        <v>130</v>
      </c>
      <c r="D207" s="737"/>
      <c r="E207" s="312">
        <v>3225</v>
      </c>
      <c r="F207" s="312"/>
      <c r="G207" s="312"/>
      <c r="H207" s="312"/>
      <c r="I207" s="312"/>
      <c r="J207" s="312"/>
      <c r="K207" s="539"/>
      <c r="L207" s="539"/>
      <c r="M207" s="21"/>
      <c r="N207" s="21"/>
      <c r="O207" s="21"/>
      <c r="P207" s="306"/>
    </row>
    <row r="208" spans="1:16" x14ac:dyDescent="0.2">
      <c r="A208" s="723"/>
      <c r="B208" s="25"/>
      <c r="C208" s="25" t="s">
        <v>131</v>
      </c>
      <c r="D208" s="737"/>
      <c r="E208" s="312">
        <v>3969</v>
      </c>
      <c r="F208" s="312"/>
      <c r="G208" s="312"/>
      <c r="H208" s="312"/>
      <c r="I208" s="312"/>
      <c r="J208" s="312"/>
      <c r="K208" s="539"/>
      <c r="L208" s="539"/>
      <c r="M208" s="21"/>
      <c r="N208" s="21"/>
      <c r="O208" s="21"/>
      <c r="P208" s="306"/>
    </row>
    <row r="209" spans="1:16" x14ac:dyDescent="0.2">
      <c r="A209" s="723"/>
      <c r="B209" s="25"/>
      <c r="C209" s="25" t="s">
        <v>132</v>
      </c>
      <c r="D209" s="737"/>
      <c r="E209" s="312">
        <v>4996</v>
      </c>
      <c r="F209" s="312"/>
      <c r="G209" s="312"/>
      <c r="H209" s="312"/>
      <c r="I209" s="312"/>
      <c r="J209" s="312"/>
      <c r="K209" s="539"/>
      <c r="L209" s="539"/>
      <c r="M209" s="21"/>
      <c r="N209" s="21"/>
      <c r="O209" s="21"/>
      <c r="P209" s="306"/>
    </row>
    <row r="210" spans="1:16" x14ac:dyDescent="0.2">
      <c r="A210" s="723"/>
      <c r="B210" s="25" t="s">
        <v>133</v>
      </c>
      <c r="C210" s="25" t="s">
        <v>134</v>
      </c>
      <c r="D210" s="737"/>
      <c r="E210" s="312">
        <v>3708</v>
      </c>
      <c r="F210" s="312"/>
      <c r="G210" s="312"/>
      <c r="H210" s="312"/>
      <c r="I210" s="312"/>
      <c r="J210" s="312"/>
      <c r="K210" s="539"/>
      <c r="L210" s="539"/>
      <c r="M210" s="21"/>
      <c r="N210" s="21"/>
      <c r="O210" s="21"/>
      <c r="P210" s="306"/>
    </row>
    <row r="211" spans="1:16" x14ac:dyDescent="0.2">
      <c r="A211" s="723"/>
      <c r="B211" s="25"/>
      <c r="C211" s="25" t="s">
        <v>135</v>
      </c>
      <c r="D211" s="737"/>
      <c r="E211" s="312">
        <v>4478</v>
      </c>
      <c r="F211" s="312"/>
      <c r="G211" s="312"/>
      <c r="H211" s="312"/>
      <c r="I211" s="312"/>
      <c r="J211" s="312"/>
      <c r="K211" s="539"/>
      <c r="L211" s="539"/>
      <c r="M211" s="21"/>
      <c r="N211" s="21"/>
      <c r="O211" s="21"/>
      <c r="P211" s="306"/>
    </row>
    <row r="212" spans="1:16" x14ac:dyDescent="0.2">
      <c r="A212" s="723"/>
      <c r="B212" s="25"/>
      <c r="C212" s="25" t="s">
        <v>136</v>
      </c>
      <c r="D212" s="737"/>
      <c r="E212" s="312">
        <v>5506</v>
      </c>
      <c r="F212" s="312"/>
      <c r="G212" s="312"/>
      <c r="H212" s="312"/>
      <c r="I212" s="312"/>
      <c r="J212" s="312"/>
      <c r="K212" s="539"/>
      <c r="L212" s="539"/>
      <c r="M212" s="21"/>
      <c r="N212" s="21"/>
      <c r="O212" s="21"/>
      <c r="P212" s="306"/>
    </row>
    <row r="213" spans="1:16" x14ac:dyDescent="0.2">
      <c r="A213" s="723"/>
      <c r="B213" s="25" t="s">
        <v>137</v>
      </c>
      <c r="C213" s="25" t="s">
        <v>138</v>
      </c>
      <c r="D213" s="737"/>
      <c r="E213" s="312">
        <v>5552</v>
      </c>
      <c r="F213" s="312"/>
      <c r="G213" s="312"/>
      <c r="H213" s="312"/>
      <c r="I213" s="312"/>
      <c r="J213" s="312"/>
      <c r="K213" s="539"/>
      <c r="L213" s="539"/>
      <c r="M213" s="21"/>
      <c r="N213" s="21"/>
      <c r="O213" s="21"/>
      <c r="P213" s="306"/>
    </row>
    <row r="214" spans="1:16" x14ac:dyDescent="0.2">
      <c r="A214" s="723"/>
      <c r="B214" s="25"/>
      <c r="C214" s="25" t="s">
        <v>139</v>
      </c>
      <c r="D214" s="737"/>
      <c r="E214" s="312">
        <v>7082</v>
      </c>
      <c r="F214" s="312"/>
      <c r="G214" s="312"/>
      <c r="H214" s="312"/>
      <c r="I214" s="312"/>
      <c r="J214" s="312"/>
      <c r="K214" s="539"/>
      <c r="L214" s="539"/>
      <c r="M214" s="21"/>
      <c r="N214" s="21"/>
      <c r="O214" s="21"/>
      <c r="P214" s="306"/>
    </row>
    <row r="215" spans="1:16" x14ac:dyDescent="0.2">
      <c r="A215" s="723"/>
      <c r="B215" s="25"/>
      <c r="C215" s="25" t="s">
        <v>140</v>
      </c>
      <c r="D215" s="737"/>
      <c r="E215" s="312">
        <v>8250</v>
      </c>
      <c r="F215" s="312"/>
      <c r="G215" s="312"/>
      <c r="H215" s="312"/>
      <c r="I215" s="312"/>
      <c r="J215" s="312"/>
      <c r="K215" s="539"/>
      <c r="L215" s="539"/>
      <c r="M215" s="21"/>
      <c r="N215" s="21"/>
      <c r="O215" s="21"/>
      <c r="P215" s="306"/>
    </row>
    <row r="216" spans="1:16" x14ac:dyDescent="0.2">
      <c r="A216" s="723"/>
      <c r="B216" s="25" t="s">
        <v>141</v>
      </c>
      <c r="C216" s="25" t="s">
        <v>142</v>
      </c>
      <c r="D216" s="737"/>
      <c r="E216" s="312">
        <v>5952</v>
      </c>
      <c r="F216" s="312"/>
      <c r="G216" s="312"/>
      <c r="H216" s="312"/>
      <c r="I216" s="312"/>
      <c r="J216" s="312"/>
      <c r="K216" s="539"/>
      <c r="L216" s="539"/>
      <c r="M216" s="21"/>
      <c r="N216" s="21"/>
      <c r="O216" s="21"/>
      <c r="P216" s="306"/>
    </row>
    <row r="217" spans="1:16" x14ac:dyDescent="0.2">
      <c r="A217" s="723"/>
      <c r="B217" s="25"/>
      <c r="C217" s="25" t="s">
        <v>143</v>
      </c>
      <c r="D217" s="737"/>
      <c r="E217" s="312">
        <v>7908</v>
      </c>
      <c r="F217" s="312"/>
      <c r="G217" s="312"/>
      <c r="H217" s="312"/>
      <c r="I217" s="312"/>
      <c r="J217" s="312"/>
      <c r="K217" s="539"/>
      <c r="L217" s="539"/>
      <c r="M217" s="21"/>
      <c r="N217" s="21"/>
      <c r="O217" s="21"/>
      <c r="P217" s="306"/>
    </row>
    <row r="218" spans="1:16" x14ac:dyDescent="0.2">
      <c r="A218" s="723"/>
      <c r="B218" s="25"/>
      <c r="C218" s="25" t="s">
        <v>144</v>
      </c>
      <c r="D218" s="737"/>
      <c r="E218" s="312">
        <v>9085</v>
      </c>
      <c r="F218" s="312"/>
      <c r="G218" s="312"/>
      <c r="H218" s="312"/>
      <c r="I218" s="312"/>
      <c r="J218" s="312"/>
      <c r="K218" s="539"/>
      <c r="L218" s="539"/>
      <c r="M218" s="21"/>
      <c r="N218" s="21"/>
      <c r="O218" s="21"/>
      <c r="P218" s="306"/>
    </row>
    <row r="219" spans="1:16" x14ac:dyDescent="0.2">
      <c r="A219" s="723"/>
      <c r="B219" s="25"/>
      <c r="C219" s="25" t="s">
        <v>145</v>
      </c>
      <c r="D219" s="737"/>
      <c r="E219" s="312">
        <v>10132</v>
      </c>
      <c r="F219" s="312"/>
      <c r="G219" s="312"/>
      <c r="H219" s="312"/>
      <c r="I219" s="312"/>
      <c r="J219" s="312"/>
      <c r="K219" s="539"/>
      <c r="L219" s="539"/>
      <c r="M219" s="21"/>
      <c r="N219" s="21"/>
      <c r="O219" s="21"/>
      <c r="P219" s="306"/>
    </row>
    <row r="220" spans="1:16" x14ac:dyDescent="0.2">
      <c r="A220" s="723"/>
      <c r="B220" s="25" t="s">
        <v>239</v>
      </c>
      <c r="C220" s="25" t="s">
        <v>146</v>
      </c>
      <c r="D220" s="737"/>
      <c r="E220" s="312">
        <v>4207</v>
      </c>
      <c r="F220" s="312"/>
      <c r="G220" s="312"/>
      <c r="H220" s="312"/>
      <c r="I220" s="312"/>
      <c r="J220" s="312"/>
      <c r="K220" s="539"/>
      <c r="L220" s="539"/>
      <c r="M220" s="21"/>
      <c r="N220" s="21"/>
      <c r="O220" s="21"/>
      <c r="P220" s="306"/>
    </row>
    <row r="221" spans="1:16" x14ac:dyDescent="0.2">
      <c r="A221" s="723"/>
      <c r="B221" s="25" t="s">
        <v>147</v>
      </c>
      <c r="C221" s="25" t="s">
        <v>148</v>
      </c>
      <c r="D221" s="737"/>
      <c r="E221" s="312">
        <v>4930</v>
      </c>
      <c r="F221" s="312"/>
      <c r="G221" s="312"/>
      <c r="H221" s="312"/>
      <c r="I221" s="312"/>
      <c r="J221" s="312"/>
      <c r="K221" s="539"/>
      <c r="L221" s="539"/>
      <c r="M221" s="21"/>
      <c r="N221" s="21"/>
      <c r="O221" s="21"/>
      <c r="P221" s="306"/>
    </row>
    <row r="222" spans="1:16" x14ac:dyDescent="0.2">
      <c r="A222" s="723"/>
      <c r="B222" s="25" t="s">
        <v>149</v>
      </c>
      <c r="C222" s="25" t="s">
        <v>150</v>
      </c>
      <c r="D222" s="737"/>
      <c r="E222" s="312">
        <v>6459</v>
      </c>
      <c r="F222" s="312"/>
      <c r="G222" s="312"/>
      <c r="H222" s="312"/>
      <c r="I222" s="312"/>
      <c r="J222" s="312"/>
      <c r="K222" s="539"/>
      <c r="L222" s="539"/>
      <c r="M222" s="21"/>
      <c r="N222" s="21"/>
      <c r="O222" s="21"/>
      <c r="P222" s="306"/>
    </row>
    <row r="223" spans="1:16" x14ac:dyDescent="0.2">
      <c r="A223" s="723"/>
      <c r="B223" s="25" t="s">
        <v>151</v>
      </c>
      <c r="C223" s="25" t="s">
        <v>152</v>
      </c>
      <c r="D223" s="737"/>
      <c r="E223" s="312">
        <v>7659</v>
      </c>
      <c r="F223" s="312"/>
      <c r="G223" s="312"/>
      <c r="H223" s="312"/>
      <c r="I223" s="312"/>
      <c r="J223" s="312"/>
      <c r="K223" s="539"/>
      <c r="L223" s="539"/>
      <c r="M223" s="21"/>
      <c r="N223" s="21"/>
      <c r="O223" s="21"/>
      <c r="P223" s="306"/>
    </row>
    <row r="224" spans="1:16" ht="14.25" customHeight="1" x14ac:dyDescent="0.2">
      <c r="A224" s="723" t="s">
        <v>153</v>
      </c>
      <c r="B224" s="25" t="s">
        <v>154</v>
      </c>
      <c r="C224" s="25" t="s">
        <v>155</v>
      </c>
      <c r="D224" s="25">
        <v>2</v>
      </c>
      <c r="E224" s="312">
        <v>10495</v>
      </c>
      <c r="F224" s="312"/>
      <c r="G224" s="312"/>
      <c r="H224" s="312"/>
      <c r="I224" s="312"/>
      <c r="J224" s="312"/>
      <c r="K224" s="539"/>
      <c r="L224" s="539"/>
      <c r="M224" s="21"/>
      <c r="N224" s="21"/>
      <c r="O224" s="21"/>
      <c r="P224" s="306"/>
    </row>
    <row r="225" spans="1:16" x14ac:dyDescent="0.2">
      <c r="A225" s="723"/>
      <c r="B225" s="25" t="s">
        <v>156</v>
      </c>
      <c r="C225" s="25" t="s">
        <v>157</v>
      </c>
      <c r="D225" s="25">
        <v>2</v>
      </c>
      <c r="E225" s="312">
        <v>14866</v>
      </c>
      <c r="F225" s="312"/>
      <c r="G225" s="312"/>
      <c r="H225" s="312"/>
      <c r="I225" s="312"/>
      <c r="J225" s="312"/>
      <c r="K225" s="539"/>
      <c r="L225" s="539"/>
      <c r="M225" s="21"/>
      <c r="N225" s="21"/>
      <c r="O225" s="21"/>
      <c r="P225" s="306"/>
    </row>
    <row r="226" spans="1:16" x14ac:dyDescent="0.2">
      <c r="A226" s="723"/>
      <c r="B226" s="25"/>
      <c r="C226" s="25" t="s">
        <v>158</v>
      </c>
      <c r="D226" s="25">
        <v>2</v>
      </c>
      <c r="E226" s="312">
        <v>16249</v>
      </c>
      <c r="F226" s="312"/>
      <c r="G226" s="312"/>
      <c r="H226" s="312"/>
      <c r="I226" s="312"/>
      <c r="J226" s="312"/>
      <c r="K226" s="539"/>
      <c r="L226" s="539"/>
      <c r="M226" s="21"/>
      <c r="N226" s="21"/>
      <c r="O226" s="21"/>
      <c r="P226" s="306"/>
    </row>
    <row r="227" spans="1:16" x14ac:dyDescent="0.2">
      <c r="A227" s="723"/>
      <c r="B227" s="25" t="s">
        <v>159</v>
      </c>
      <c r="C227" s="25" t="s">
        <v>160</v>
      </c>
      <c r="D227" s="25">
        <v>2</v>
      </c>
      <c r="E227" s="312">
        <v>20214</v>
      </c>
      <c r="F227" s="312"/>
      <c r="G227" s="312"/>
      <c r="H227" s="312"/>
      <c r="I227" s="312"/>
      <c r="J227" s="312"/>
      <c r="K227" s="539"/>
      <c r="L227" s="539"/>
      <c r="M227" s="21"/>
      <c r="N227" s="21"/>
      <c r="O227" s="21"/>
      <c r="P227" s="306"/>
    </row>
    <row r="228" spans="1:16" x14ac:dyDescent="0.2">
      <c r="A228" s="723"/>
      <c r="B228" s="25" t="s">
        <v>161</v>
      </c>
      <c r="C228" s="25" t="s">
        <v>162</v>
      </c>
      <c r="D228" s="25">
        <v>10</v>
      </c>
      <c r="E228" s="312">
        <v>9455</v>
      </c>
      <c r="F228" s="312"/>
      <c r="G228" s="312"/>
      <c r="H228" s="312"/>
      <c r="I228" s="312"/>
      <c r="J228" s="312"/>
      <c r="K228" s="539"/>
      <c r="L228" s="539"/>
      <c r="M228" s="21"/>
      <c r="N228" s="21"/>
      <c r="O228" s="21"/>
      <c r="P228" s="306"/>
    </row>
    <row r="229" spans="1:16" x14ac:dyDescent="0.2">
      <c r="A229" s="723"/>
      <c r="B229" s="25"/>
      <c r="C229" s="25" t="s">
        <v>163</v>
      </c>
      <c r="D229" s="25">
        <v>1</v>
      </c>
      <c r="E229" s="312">
        <v>685</v>
      </c>
      <c r="F229" s="312"/>
      <c r="G229" s="312"/>
      <c r="H229" s="312"/>
      <c r="I229" s="312"/>
      <c r="J229" s="312"/>
      <c r="K229" s="539"/>
      <c r="L229" s="539"/>
      <c r="M229" s="21"/>
      <c r="N229" s="21"/>
      <c r="O229" s="21"/>
      <c r="P229" s="306"/>
    </row>
    <row r="230" spans="1:16" x14ac:dyDescent="0.2">
      <c r="A230" s="314"/>
      <c r="B230" s="21"/>
      <c r="C230" s="21"/>
      <c r="D230" s="21"/>
      <c r="E230" s="315"/>
      <c r="F230" s="316"/>
      <c r="G230" s="317"/>
      <c r="H230" s="318"/>
      <c r="I230" s="21"/>
      <c r="J230" s="21"/>
      <c r="K230" s="21"/>
      <c r="L230" s="21"/>
      <c r="M230" s="21"/>
      <c r="N230" s="21"/>
      <c r="O230" s="21"/>
      <c r="P230" s="306"/>
    </row>
    <row r="231" spans="1:16" x14ac:dyDescent="0.2">
      <c r="A231" s="310" t="s">
        <v>286</v>
      </c>
      <c r="B231" s="21"/>
      <c r="C231" s="21"/>
      <c r="D231" s="21"/>
      <c r="E231" s="21"/>
      <c r="F231" s="21"/>
      <c r="G231" s="21"/>
      <c r="H231" s="21"/>
      <c r="I231" s="480"/>
      <c r="J231" s="480"/>
      <c r="K231" s="480"/>
      <c r="L231" s="480"/>
      <c r="M231" s="480"/>
      <c r="N231" s="21"/>
      <c r="O231" s="21"/>
      <c r="P231" s="306"/>
    </row>
    <row r="232" spans="1:16" ht="14.25" customHeight="1" x14ac:dyDescent="0.2">
      <c r="A232" s="310" t="s">
        <v>85</v>
      </c>
      <c r="B232" s="311" t="s">
        <v>86</v>
      </c>
      <c r="C232" s="311" t="s">
        <v>87</v>
      </c>
      <c r="D232" s="311" t="s">
        <v>88</v>
      </c>
      <c r="E232" s="311" t="s">
        <v>89</v>
      </c>
      <c r="F232" s="311" t="s">
        <v>90</v>
      </c>
      <c r="G232" s="311"/>
      <c r="H232" s="311"/>
      <c r="I232" s="311"/>
      <c r="J232" s="311"/>
      <c r="K232" s="311"/>
      <c r="L232" s="311"/>
      <c r="M232" s="311"/>
      <c r="N232" s="21"/>
      <c r="O232" s="21"/>
      <c r="P232" s="306"/>
    </row>
    <row r="233" spans="1:16" ht="19.5" customHeight="1" x14ac:dyDescent="0.2">
      <c r="A233" s="723" t="s">
        <v>93</v>
      </c>
      <c r="B233" s="25" t="s">
        <v>164</v>
      </c>
      <c r="C233" s="25" t="s">
        <v>165</v>
      </c>
      <c r="D233" s="25">
        <v>1</v>
      </c>
      <c r="E233" s="312">
        <v>4950</v>
      </c>
      <c r="F233" s="731" t="s">
        <v>422</v>
      </c>
      <c r="G233" s="542"/>
      <c r="H233" s="542"/>
      <c r="I233" s="542"/>
      <c r="J233" s="542"/>
      <c r="K233" s="542"/>
      <c r="L233" s="519"/>
      <c r="M233" s="519"/>
      <c r="N233" s="21"/>
      <c r="O233" s="21"/>
      <c r="P233" s="306"/>
    </row>
    <row r="234" spans="1:16" ht="19.5" customHeight="1" x14ac:dyDescent="0.2">
      <c r="A234" s="723"/>
      <c r="B234" s="25" t="s">
        <v>166</v>
      </c>
      <c r="C234" s="25" t="s">
        <v>167</v>
      </c>
      <c r="D234" s="25">
        <v>1</v>
      </c>
      <c r="E234" s="312">
        <v>5380</v>
      </c>
      <c r="F234" s="731"/>
      <c r="G234" s="542"/>
      <c r="H234" s="542"/>
      <c r="I234" s="542"/>
      <c r="J234" s="542"/>
      <c r="K234" s="542"/>
      <c r="L234" s="519"/>
      <c r="M234" s="519"/>
      <c r="N234" s="21"/>
      <c r="O234" s="21"/>
      <c r="P234" s="306"/>
    </row>
    <row r="235" spans="1:16" ht="19.5" customHeight="1" x14ac:dyDescent="0.2">
      <c r="A235" s="723"/>
      <c r="B235" s="25" t="s">
        <v>168</v>
      </c>
      <c r="C235" s="25" t="s">
        <v>169</v>
      </c>
      <c r="D235" s="25">
        <v>1</v>
      </c>
      <c r="E235" s="312">
        <v>4950</v>
      </c>
      <c r="F235" s="731"/>
      <c r="G235" s="542"/>
      <c r="H235" s="542"/>
      <c r="I235" s="542"/>
      <c r="J235" s="542"/>
      <c r="K235" s="542"/>
      <c r="L235" s="519"/>
      <c r="M235" s="519"/>
      <c r="N235" s="21"/>
      <c r="O235" s="21"/>
      <c r="P235" s="306"/>
    </row>
    <row r="236" spans="1:16" ht="19.5" customHeight="1" x14ac:dyDescent="0.2">
      <c r="A236" s="723"/>
      <c r="B236" s="25" t="s">
        <v>170</v>
      </c>
      <c r="C236" s="25" t="s">
        <v>171</v>
      </c>
      <c r="D236" s="25">
        <v>1</v>
      </c>
      <c r="E236" s="312">
        <v>995</v>
      </c>
      <c r="F236" s="731"/>
      <c r="G236" s="542"/>
      <c r="H236" s="542"/>
      <c r="I236" s="542"/>
      <c r="J236" s="542"/>
      <c r="K236" s="542"/>
      <c r="L236" s="519"/>
      <c r="M236" s="519"/>
      <c r="N236" s="21"/>
      <c r="O236" s="21"/>
      <c r="P236" s="306"/>
    </row>
    <row r="237" spans="1:16" ht="19.5" customHeight="1" x14ac:dyDescent="0.2">
      <c r="A237" s="723"/>
      <c r="B237" s="25" t="s">
        <v>172</v>
      </c>
      <c r="C237" s="25" t="s">
        <v>173</v>
      </c>
      <c r="D237" s="25">
        <v>1</v>
      </c>
      <c r="E237" s="312">
        <v>1950</v>
      </c>
      <c r="F237" s="731"/>
      <c r="G237" s="542"/>
      <c r="H237" s="542"/>
      <c r="I237" s="542"/>
      <c r="J237" s="542"/>
      <c r="K237" s="542"/>
      <c r="L237" s="519"/>
      <c r="M237" s="519"/>
      <c r="N237" s="21"/>
      <c r="O237" s="21"/>
      <c r="P237" s="306"/>
    </row>
    <row r="238" spans="1:16" ht="19.5" customHeight="1" x14ac:dyDescent="0.2">
      <c r="A238" s="723"/>
      <c r="B238" s="25" t="s">
        <v>174</v>
      </c>
      <c r="C238" s="25" t="s">
        <v>175</v>
      </c>
      <c r="D238" s="25">
        <v>1</v>
      </c>
      <c r="E238" s="312">
        <v>3950</v>
      </c>
      <c r="F238" s="731"/>
      <c r="G238" s="542"/>
      <c r="H238" s="542"/>
      <c r="I238" s="542"/>
      <c r="J238" s="542"/>
      <c r="K238" s="542"/>
      <c r="L238" s="519"/>
      <c r="M238" s="519"/>
      <c r="N238" s="21"/>
      <c r="O238" s="21"/>
      <c r="P238" s="306"/>
    </row>
    <row r="239" spans="1:16" ht="14.25" customHeight="1" x14ac:dyDescent="0.2">
      <c r="A239" s="723" t="s">
        <v>176</v>
      </c>
      <c r="B239" s="25" t="s">
        <v>177</v>
      </c>
      <c r="C239" s="25" t="s">
        <v>178</v>
      </c>
      <c r="D239" s="25">
        <v>1</v>
      </c>
      <c r="E239" s="312">
        <v>4500</v>
      </c>
      <c r="F239" s="731"/>
      <c r="G239" s="542"/>
      <c r="H239" s="542"/>
      <c r="I239" s="542"/>
      <c r="J239" s="542"/>
      <c r="K239" s="542"/>
      <c r="L239" s="519"/>
      <c r="M239" s="519"/>
      <c r="N239" s="21"/>
      <c r="O239" s="21"/>
      <c r="P239" s="306"/>
    </row>
    <row r="240" spans="1:16" x14ac:dyDescent="0.2">
      <c r="A240" s="723"/>
      <c r="B240" s="25" t="s">
        <v>179</v>
      </c>
      <c r="C240" s="25" t="s">
        <v>180</v>
      </c>
      <c r="D240" s="25"/>
      <c r="E240" s="312">
        <v>25000</v>
      </c>
      <c r="F240" s="731"/>
      <c r="G240" s="542"/>
      <c r="H240" s="542"/>
      <c r="I240" s="542"/>
      <c r="J240" s="542"/>
      <c r="K240" s="542"/>
      <c r="L240" s="519"/>
      <c r="M240" s="519"/>
      <c r="N240" s="21"/>
      <c r="O240" s="21"/>
      <c r="P240" s="306"/>
    </row>
    <row r="241" spans="1:16" x14ac:dyDescent="0.2">
      <c r="A241" s="723"/>
      <c r="B241" s="25" t="s">
        <v>181</v>
      </c>
      <c r="C241" s="25" t="s">
        <v>182</v>
      </c>
      <c r="D241" s="25">
        <v>1</v>
      </c>
      <c r="E241" s="312">
        <v>9144</v>
      </c>
      <c r="F241" s="731"/>
      <c r="G241" s="542"/>
      <c r="H241" s="542"/>
      <c r="I241" s="542"/>
      <c r="J241" s="542"/>
      <c r="K241" s="542"/>
      <c r="L241" s="519"/>
      <c r="M241" s="519"/>
      <c r="N241" s="21"/>
      <c r="O241" s="21"/>
      <c r="P241" s="306"/>
    </row>
    <row r="242" spans="1:16" x14ac:dyDescent="0.2">
      <c r="A242" s="723"/>
      <c r="B242" s="25" t="s">
        <v>183</v>
      </c>
      <c r="C242" s="25" t="s">
        <v>184</v>
      </c>
      <c r="D242" s="25">
        <v>1</v>
      </c>
      <c r="E242" s="312">
        <v>1700</v>
      </c>
      <c r="F242" s="731"/>
      <c r="G242" s="542"/>
      <c r="H242" s="542"/>
      <c r="I242" s="542"/>
      <c r="J242" s="542"/>
      <c r="K242" s="542"/>
      <c r="L242" s="519"/>
      <c r="M242" s="519"/>
      <c r="N242" s="21"/>
      <c r="O242" s="21"/>
      <c r="P242" s="306"/>
    </row>
    <row r="243" spans="1:16" x14ac:dyDescent="0.2">
      <c r="A243" s="723"/>
      <c r="B243" s="25" t="s">
        <v>185</v>
      </c>
      <c r="C243" s="25" t="s">
        <v>186</v>
      </c>
      <c r="D243" s="25">
        <v>3</v>
      </c>
      <c r="E243" s="312">
        <v>11885</v>
      </c>
      <c r="F243" s="731"/>
      <c r="G243" s="542"/>
      <c r="H243" s="542"/>
      <c r="I243" s="542"/>
      <c r="J243" s="542"/>
      <c r="K243" s="542"/>
      <c r="L243" s="519"/>
      <c r="M243" s="519"/>
      <c r="N243" s="21"/>
      <c r="O243" s="21"/>
      <c r="P243" s="306"/>
    </row>
    <row r="244" spans="1:16" x14ac:dyDescent="0.2">
      <c r="A244" s="723"/>
      <c r="B244" s="25" t="s">
        <v>187</v>
      </c>
      <c r="C244" s="25" t="s">
        <v>186</v>
      </c>
      <c r="D244" s="25">
        <v>4</v>
      </c>
      <c r="E244" s="312">
        <v>13202</v>
      </c>
      <c r="F244" s="731"/>
      <c r="G244" s="542"/>
      <c r="H244" s="542"/>
      <c r="I244" s="542"/>
      <c r="J244" s="542"/>
      <c r="K244" s="542"/>
      <c r="L244" s="519"/>
      <c r="M244" s="519"/>
      <c r="N244" s="21"/>
      <c r="O244" s="21"/>
      <c r="P244" s="306"/>
    </row>
    <row r="245" spans="1:16" x14ac:dyDescent="0.2">
      <c r="A245" s="723"/>
      <c r="B245" s="25" t="s">
        <v>188</v>
      </c>
      <c r="C245" s="25" t="s">
        <v>186</v>
      </c>
      <c r="D245" s="25">
        <v>6</v>
      </c>
      <c r="E245" s="312">
        <v>15428</v>
      </c>
      <c r="F245" s="731"/>
      <c r="G245" s="542"/>
      <c r="H245" s="542"/>
      <c r="I245" s="542"/>
      <c r="J245" s="542"/>
      <c r="K245" s="542"/>
      <c r="L245" s="519"/>
      <c r="M245" s="519"/>
      <c r="N245" s="21"/>
      <c r="O245" s="21"/>
      <c r="P245" s="306"/>
    </row>
    <row r="246" spans="1:16" x14ac:dyDescent="0.2">
      <c r="A246" s="723"/>
      <c r="B246" s="25" t="s">
        <v>189</v>
      </c>
      <c r="C246" s="25" t="s">
        <v>186</v>
      </c>
      <c r="D246" s="25">
        <v>8</v>
      </c>
      <c r="E246" s="312">
        <v>17950</v>
      </c>
      <c r="F246" s="731"/>
      <c r="G246" s="542"/>
      <c r="H246" s="542"/>
      <c r="I246" s="542"/>
      <c r="J246" s="542"/>
      <c r="K246" s="542"/>
      <c r="L246" s="519"/>
      <c r="M246" s="519"/>
      <c r="N246" s="21"/>
      <c r="O246" s="21"/>
      <c r="P246" s="306"/>
    </row>
    <row r="247" spans="1:16" x14ac:dyDescent="0.2">
      <c r="A247" s="723"/>
      <c r="B247" s="25" t="s">
        <v>190</v>
      </c>
      <c r="C247" s="25"/>
      <c r="D247" s="25"/>
      <c r="E247" s="312"/>
      <c r="F247" s="731"/>
      <c r="G247" s="542"/>
      <c r="H247" s="542"/>
      <c r="I247" s="542"/>
      <c r="J247" s="542"/>
      <c r="K247" s="542"/>
      <c r="L247" s="519"/>
      <c r="M247" s="519"/>
      <c r="N247" s="21"/>
      <c r="O247" s="21"/>
      <c r="P247" s="306"/>
    </row>
    <row r="248" spans="1:16" x14ac:dyDescent="0.2">
      <c r="A248" s="723"/>
      <c r="B248" s="25" t="s">
        <v>191</v>
      </c>
      <c r="C248" s="25" t="s">
        <v>192</v>
      </c>
      <c r="D248" s="25">
        <v>1</v>
      </c>
      <c r="E248" s="312">
        <v>700</v>
      </c>
      <c r="F248" s="731"/>
      <c r="G248" s="542"/>
      <c r="H248" s="542"/>
      <c r="I248" s="542"/>
      <c r="J248" s="542"/>
      <c r="K248" s="542"/>
      <c r="L248" s="519"/>
      <c r="M248" s="519"/>
      <c r="N248" s="21"/>
      <c r="O248" s="21"/>
      <c r="P248" s="306"/>
    </row>
    <row r="249" spans="1:16" x14ac:dyDescent="0.2">
      <c r="A249" s="723"/>
      <c r="B249" s="25" t="s">
        <v>193</v>
      </c>
      <c r="C249" s="25" t="s">
        <v>192</v>
      </c>
      <c r="D249" s="25">
        <v>1</v>
      </c>
      <c r="E249" s="312">
        <v>650</v>
      </c>
      <c r="F249" s="731"/>
      <c r="G249" s="542"/>
      <c r="H249" s="542"/>
      <c r="I249" s="542"/>
      <c r="J249" s="542"/>
      <c r="K249" s="542"/>
      <c r="L249" s="519"/>
      <c r="M249" s="519"/>
      <c r="N249" s="21"/>
      <c r="O249" s="21"/>
      <c r="P249" s="306"/>
    </row>
    <row r="250" spans="1:16" x14ac:dyDescent="0.2">
      <c r="A250" s="723"/>
      <c r="B250" s="25" t="s">
        <v>194</v>
      </c>
      <c r="C250" s="25" t="s">
        <v>192</v>
      </c>
      <c r="D250" s="25">
        <v>1</v>
      </c>
      <c r="E250" s="312">
        <v>600</v>
      </c>
      <c r="F250" s="731"/>
      <c r="G250" s="542"/>
      <c r="H250" s="542"/>
      <c r="I250" s="542"/>
      <c r="J250" s="542"/>
      <c r="K250" s="542"/>
      <c r="L250" s="519"/>
      <c r="M250" s="519"/>
      <c r="N250" s="21"/>
      <c r="O250" s="21"/>
      <c r="P250" s="306"/>
    </row>
    <row r="251" spans="1:16" x14ac:dyDescent="0.2">
      <c r="A251" s="723"/>
      <c r="B251" s="25" t="s">
        <v>195</v>
      </c>
      <c r="C251" s="25" t="s">
        <v>192</v>
      </c>
      <c r="D251" s="25">
        <v>1</v>
      </c>
      <c r="E251" s="312">
        <v>550</v>
      </c>
      <c r="F251" s="731"/>
      <c r="G251" s="542"/>
      <c r="H251" s="542"/>
      <c r="I251" s="542"/>
      <c r="J251" s="542"/>
      <c r="K251" s="542"/>
      <c r="L251" s="519"/>
      <c r="M251" s="519"/>
      <c r="N251" s="21"/>
      <c r="O251" s="21"/>
      <c r="P251" s="306"/>
    </row>
    <row r="252" spans="1:16" x14ac:dyDescent="0.2">
      <c r="A252" s="723"/>
      <c r="B252" s="25" t="s">
        <v>196</v>
      </c>
      <c r="C252" s="25" t="s">
        <v>192</v>
      </c>
      <c r="D252" s="25">
        <v>1</v>
      </c>
      <c r="E252" s="312">
        <v>500</v>
      </c>
      <c r="F252" s="731"/>
      <c r="G252" s="542"/>
      <c r="H252" s="542"/>
      <c r="I252" s="542"/>
      <c r="J252" s="542"/>
      <c r="K252" s="542"/>
      <c r="L252" s="519"/>
      <c r="M252" s="519"/>
      <c r="N252" s="21"/>
      <c r="O252" s="21"/>
      <c r="P252" s="306"/>
    </row>
    <row r="253" spans="1:16" x14ac:dyDescent="0.2">
      <c r="A253" s="723"/>
      <c r="B253" s="25" t="s">
        <v>197</v>
      </c>
      <c r="C253" s="25" t="s">
        <v>192</v>
      </c>
      <c r="D253" s="25">
        <v>1</v>
      </c>
      <c r="E253" s="312">
        <v>450</v>
      </c>
      <c r="F253" s="731"/>
      <c r="G253" s="542"/>
      <c r="H253" s="542"/>
      <c r="I253" s="542"/>
      <c r="J253" s="542"/>
      <c r="K253" s="542"/>
      <c r="L253" s="519"/>
      <c r="M253" s="519"/>
      <c r="N253" s="21"/>
      <c r="O253" s="21"/>
      <c r="P253" s="306"/>
    </row>
    <row r="254" spans="1:16" x14ac:dyDescent="0.2">
      <c r="A254" s="723"/>
      <c r="B254" s="25" t="s">
        <v>198</v>
      </c>
      <c r="C254" s="25" t="s">
        <v>192</v>
      </c>
      <c r="D254" s="25">
        <v>1</v>
      </c>
      <c r="E254" s="312">
        <v>400</v>
      </c>
      <c r="F254" s="731"/>
      <c r="G254" s="542"/>
      <c r="H254" s="542"/>
      <c r="I254" s="542"/>
      <c r="J254" s="542"/>
      <c r="K254" s="542"/>
      <c r="L254" s="519"/>
      <c r="M254" s="519"/>
      <c r="N254" s="21"/>
      <c r="O254" s="21"/>
      <c r="P254" s="306"/>
    </row>
    <row r="255" spans="1:16" x14ac:dyDescent="0.2">
      <c r="A255" s="723"/>
      <c r="B255" s="25" t="s">
        <v>199</v>
      </c>
      <c r="C255" s="25" t="s">
        <v>192</v>
      </c>
      <c r="D255" s="25">
        <v>1</v>
      </c>
      <c r="E255" s="312">
        <v>350</v>
      </c>
      <c r="F255" s="731"/>
      <c r="G255" s="542"/>
      <c r="H255" s="542"/>
      <c r="I255" s="542"/>
      <c r="J255" s="542"/>
      <c r="K255" s="542"/>
      <c r="L255" s="519"/>
      <c r="M255" s="519"/>
      <c r="N255" s="21"/>
      <c r="O255" s="21"/>
      <c r="P255" s="306"/>
    </row>
    <row r="256" spans="1:16" x14ac:dyDescent="0.2">
      <c r="A256" s="723"/>
      <c r="B256" s="25" t="s">
        <v>200</v>
      </c>
      <c r="C256" s="25"/>
      <c r="D256" s="25"/>
      <c r="E256" s="312"/>
      <c r="F256" s="731"/>
      <c r="G256" s="542"/>
      <c r="H256" s="542"/>
      <c r="I256" s="542"/>
      <c r="J256" s="542"/>
      <c r="K256" s="542"/>
      <c r="L256" s="519"/>
      <c r="M256" s="519"/>
      <c r="N256" s="21"/>
      <c r="O256" s="21"/>
      <c r="P256" s="306"/>
    </row>
    <row r="257" spans="1:16" x14ac:dyDescent="0.2">
      <c r="A257" s="723"/>
      <c r="B257" s="25" t="s">
        <v>201</v>
      </c>
      <c r="C257" s="25" t="s">
        <v>202</v>
      </c>
      <c r="D257" s="25">
        <v>1</v>
      </c>
      <c r="E257" s="312">
        <v>800</v>
      </c>
      <c r="F257" s="731"/>
      <c r="G257" s="542"/>
      <c r="H257" s="542"/>
      <c r="I257" s="542"/>
      <c r="J257" s="542"/>
      <c r="K257" s="542"/>
      <c r="L257" s="519"/>
      <c r="M257" s="519"/>
      <c r="N257" s="21"/>
      <c r="O257" s="21"/>
      <c r="P257" s="306"/>
    </row>
    <row r="258" spans="1:16" x14ac:dyDescent="0.2">
      <c r="A258" s="723"/>
      <c r="B258" s="25" t="s">
        <v>203</v>
      </c>
      <c r="C258" s="25" t="s">
        <v>202</v>
      </c>
      <c r="D258" s="25">
        <v>1</v>
      </c>
      <c r="E258" s="312">
        <v>750</v>
      </c>
      <c r="F258" s="731"/>
      <c r="G258" s="542"/>
      <c r="H258" s="542"/>
      <c r="I258" s="542"/>
      <c r="J258" s="542"/>
      <c r="K258" s="542"/>
      <c r="L258" s="519"/>
      <c r="M258" s="519"/>
      <c r="N258" s="21"/>
      <c r="O258" s="21"/>
      <c r="P258" s="306"/>
    </row>
    <row r="259" spans="1:16" x14ac:dyDescent="0.2">
      <c r="A259" s="723"/>
      <c r="B259" s="25" t="s">
        <v>204</v>
      </c>
      <c r="C259" s="25" t="s">
        <v>202</v>
      </c>
      <c r="D259" s="25">
        <v>1</v>
      </c>
      <c r="E259" s="312">
        <v>700</v>
      </c>
      <c r="F259" s="731"/>
      <c r="G259" s="542"/>
      <c r="H259" s="542"/>
      <c r="I259" s="542"/>
      <c r="J259" s="542"/>
      <c r="K259" s="542"/>
      <c r="L259" s="519"/>
      <c r="M259" s="519"/>
      <c r="N259" s="21"/>
      <c r="O259" s="21"/>
      <c r="P259" s="306"/>
    </row>
    <row r="260" spans="1:16" x14ac:dyDescent="0.2">
      <c r="A260" s="723"/>
      <c r="B260" s="25" t="s">
        <v>205</v>
      </c>
      <c r="C260" s="25" t="s">
        <v>202</v>
      </c>
      <c r="D260" s="25">
        <v>1</v>
      </c>
      <c r="E260" s="312">
        <v>650</v>
      </c>
      <c r="F260" s="731"/>
      <c r="G260" s="542"/>
      <c r="H260" s="542"/>
      <c r="I260" s="542"/>
      <c r="J260" s="542"/>
      <c r="K260" s="542"/>
      <c r="L260" s="519"/>
      <c r="M260" s="519"/>
      <c r="N260" s="21"/>
      <c r="O260" s="21"/>
      <c r="P260" s="306"/>
    </row>
    <row r="261" spans="1:16" x14ac:dyDescent="0.2">
      <c r="A261" s="723"/>
      <c r="B261" s="25" t="s">
        <v>206</v>
      </c>
      <c r="C261" s="25" t="s">
        <v>202</v>
      </c>
      <c r="D261" s="25">
        <v>1</v>
      </c>
      <c r="E261" s="312">
        <v>600</v>
      </c>
      <c r="F261" s="731"/>
      <c r="G261" s="542"/>
      <c r="H261" s="542"/>
      <c r="I261" s="542"/>
      <c r="J261" s="542"/>
      <c r="K261" s="542"/>
      <c r="L261" s="519"/>
      <c r="M261" s="519"/>
      <c r="N261" s="21"/>
      <c r="O261" s="21"/>
      <c r="P261" s="306"/>
    </row>
    <row r="262" spans="1:16" x14ac:dyDescent="0.2">
      <c r="A262" s="723"/>
      <c r="B262" s="25" t="s">
        <v>207</v>
      </c>
      <c r="C262" s="25" t="s">
        <v>202</v>
      </c>
      <c r="D262" s="25">
        <v>1</v>
      </c>
      <c r="E262" s="312">
        <v>550</v>
      </c>
      <c r="F262" s="731"/>
      <c r="G262" s="542"/>
      <c r="H262" s="542"/>
      <c r="I262" s="542"/>
      <c r="J262" s="542"/>
      <c r="K262" s="542"/>
      <c r="L262" s="519"/>
      <c r="M262" s="519"/>
      <c r="N262" s="21"/>
      <c r="O262" s="21"/>
      <c r="P262" s="306"/>
    </row>
    <row r="263" spans="1:16" x14ac:dyDescent="0.2">
      <c r="A263" s="723"/>
      <c r="B263" s="25" t="s">
        <v>208</v>
      </c>
      <c r="C263" s="25" t="s">
        <v>202</v>
      </c>
      <c r="D263" s="25">
        <v>1</v>
      </c>
      <c r="E263" s="312">
        <v>500</v>
      </c>
      <c r="F263" s="731"/>
      <c r="G263" s="542"/>
      <c r="H263" s="542"/>
      <c r="I263" s="542"/>
      <c r="J263" s="542"/>
      <c r="K263" s="542"/>
      <c r="L263" s="519"/>
      <c r="M263" s="519"/>
      <c r="N263" s="21"/>
      <c r="O263" s="21"/>
      <c r="P263" s="306"/>
    </row>
    <row r="264" spans="1:16" x14ac:dyDescent="0.2">
      <c r="A264" s="723"/>
      <c r="B264" s="25" t="s">
        <v>209</v>
      </c>
      <c r="C264" s="25" t="s">
        <v>202</v>
      </c>
      <c r="D264" s="25">
        <v>1</v>
      </c>
      <c r="E264" s="312">
        <v>450</v>
      </c>
      <c r="F264" s="731"/>
      <c r="G264" s="542"/>
      <c r="H264" s="542"/>
      <c r="I264" s="542"/>
      <c r="J264" s="542"/>
      <c r="K264" s="542"/>
      <c r="L264" s="519"/>
      <c r="M264" s="519"/>
      <c r="N264" s="21"/>
      <c r="O264" s="21"/>
      <c r="P264" s="306"/>
    </row>
    <row r="265" spans="1:16" x14ac:dyDescent="0.2">
      <c r="A265" s="319"/>
      <c r="B265" s="25"/>
      <c r="C265" s="25"/>
      <c r="D265" s="25"/>
      <c r="E265" s="312"/>
      <c r="F265" s="445"/>
      <c r="G265" s="320"/>
      <c r="H265" s="320"/>
      <c r="I265" s="325"/>
      <c r="J265" s="325"/>
      <c r="K265" s="325"/>
      <c r="L265" s="325"/>
      <c r="M265" s="325"/>
      <c r="N265" s="21"/>
      <c r="O265" s="21"/>
      <c r="P265" s="306"/>
    </row>
    <row r="266" spans="1:16" x14ac:dyDescent="0.2">
      <c r="A266" s="307"/>
      <c r="B266" s="25"/>
      <c r="C266" s="25"/>
      <c r="D266" s="25"/>
      <c r="E266" s="25"/>
      <c r="F266" s="25"/>
      <c r="G266" s="25"/>
      <c r="H266" s="25"/>
      <c r="I266" s="325"/>
      <c r="J266" s="325"/>
      <c r="K266" s="325"/>
      <c r="L266" s="325"/>
      <c r="M266" s="325"/>
      <c r="N266" s="21"/>
      <c r="O266" s="21"/>
      <c r="P266" s="306"/>
    </row>
    <row r="267" spans="1:16" x14ac:dyDescent="0.2">
      <c r="A267" s="307"/>
      <c r="B267" s="25" t="s">
        <v>108</v>
      </c>
      <c r="C267" s="25"/>
      <c r="D267" s="25"/>
      <c r="E267" s="25"/>
      <c r="F267" s="25"/>
      <c r="G267" s="25"/>
      <c r="H267" s="25"/>
      <c r="I267" s="21"/>
      <c r="J267" s="21"/>
      <c r="K267" s="21"/>
      <c r="L267" s="21"/>
      <c r="M267" s="21"/>
      <c r="N267" s="21"/>
      <c r="O267" s="21"/>
      <c r="P267" s="306"/>
    </row>
    <row r="268" spans="1:16" x14ac:dyDescent="0.2">
      <c r="A268" s="309"/>
      <c r="B268" s="313" t="s">
        <v>109</v>
      </c>
      <c r="C268" s="25"/>
      <c r="D268" s="21"/>
      <c r="E268" s="21"/>
      <c r="F268" s="21"/>
      <c r="G268" s="321"/>
      <c r="H268" s="321"/>
      <c r="I268" s="21"/>
      <c r="J268" s="21"/>
      <c r="K268" s="21"/>
      <c r="L268" s="21"/>
      <c r="M268" s="21"/>
      <c r="N268" s="21"/>
      <c r="O268" s="21"/>
      <c r="P268" s="306"/>
    </row>
    <row r="269" spans="1:16" x14ac:dyDescent="0.2">
      <c r="A269" s="309"/>
      <c r="B269" s="21"/>
      <c r="C269" s="21"/>
      <c r="D269" s="21"/>
      <c r="E269" s="21"/>
      <c r="F269" s="21"/>
      <c r="G269" s="21"/>
      <c r="H269" s="21"/>
      <c r="I269" s="21"/>
      <c r="J269" s="21"/>
      <c r="K269" s="21"/>
      <c r="L269" s="21"/>
      <c r="M269" s="21"/>
      <c r="N269" s="21"/>
      <c r="O269" s="21"/>
      <c r="P269" s="306"/>
    </row>
    <row r="270" spans="1:16" x14ac:dyDescent="0.2">
      <c r="A270" s="310" t="s">
        <v>287</v>
      </c>
      <c r="B270" s="21"/>
      <c r="C270" s="21"/>
      <c r="D270" s="21"/>
      <c r="E270" s="21"/>
      <c r="F270" s="21"/>
      <c r="G270" s="21"/>
      <c r="H270" s="21"/>
      <c r="I270" s="305"/>
      <c r="J270" s="305"/>
      <c r="K270" s="305"/>
      <c r="L270" s="305"/>
      <c r="M270" s="21"/>
      <c r="N270" s="21"/>
      <c r="O270" s="21"/>
      <c r="P270" s="306"/>
    </row>
    <row r="271" spans="1:16" ht="39" customHeight="1" x14ac:dyDescent="0.2">
      <c r="A271" s="304" t="s">
        <v>85</v>
      </c>
      <c r="B271" s="305" t="s">
        <v>86</v>
      </c>
      <c r="C271" s="305" t="s">
        <v>87</v>
      </c>
      <c r="D271" s="305" t="s">
        <v>88</v>
      </c>
      <c r="E271" s="305" t="s">
        <v>89</v>
      </c>
      <c r="F271" s="305" t="s">
        <v>90</v>
      </c>
      <c r="G271" s="305"/>
      <c r="H271" s="305"/>
      <c r="I271" s="305"/>
      <c r="J271" s="305"/>
      <c r="K271" s="305"/>
      <c r="L271" s="305"/>
      <c r="M271" s="21"/>
      <c r="N271" s="21"/>
      <c r="O271" s="21"/>
      <c r="P271" s="306"/>
    </row>
    <row r="272" spans="1:16" ht="39" customHeight="1" x14ac:dyDescent="0.2">
      <c r="A272" s="729" t="s">
        <v>93</v>
      </c>
      <c r="B272" s="25" t="s">
        <v>210</v>
      </c>
      <c r="C272" s="25" t="s">
        <v>211</v>
      </c>
      <c r="D272" s="25">
        <v>1</v>
      </c>
      <c r="E272" s="312">
        <v>5595</v>
      </c>
      <c r="F272" s="731" t="s">
        <v>422</v>
      </c>
      <c r="G272" s="542"/>
      <c r="H272" s="542"/>
      <c r="I272" s="542"/>
      <c r="J272" s="542"/>
      <c r="K272" s="519"/>
      <c r="L272" s="519"/>
      <c r="M272" s="325"/>
      <c r="N272" s="21"/>
      <c r="O272" s="21"/>
      <c r="P272" s="306"/>
    </row>
    <row r="273" spans="1:16" ht="43.5" customHeight="1" x14ac:dyDescent="0.2">
      <c r="A273" s="729"/>
      <c r="B273" s="25" t="s">
        <v>212</v>
      </c>
      <c r="C273" s="25" t="s">
        <v>213</v>
      </c>
      <c r="D273" s="25">
        <v>1</v>
      </c>
      <c r="E273" s="312">
        <v>2150</v>
      </c>
      <c r="F273" s="731"/>
      <c r="G273" s="542"/>
      <c r="H273" s="542"/>
      <c r="I273" s="542"/>
      <c r="J273" s="542"/>
      <c r="K273" s="519"/>
      <c r="L273" s="519"/>
      <c r="M273" s="325"/>
      <c r="N273" s="21"/>
      <c r="O273" s="21"/>
      <c r="P273" s="306"/>
    </row>
    <row r="274" spans="1:16" ht="39" customHeight="1" x14ac:dyDescent="0.2">
      <c r="A274" s="729"/>
      <c r="B274" s="25" t="s">
        <v>214</v>
      </c>
      <c r="C274" s="25" t="s">
        <v>215</v>
      </c>
      <c r="D274" s="25">
        <v>1</v>
      </c>
      <c r="E274" s="312"/>
      <c r="F274" s="731"/>
      <c r="G274" s="542"/>
      <c r="H274" s="542"/>
      <c r="I274" s="542"/>
      <c r="J274" s="542"/>
      <c r="K274" s="519"/>
      <c r="L274" s="519"/>
      <c r="M274" s="325"/>
      <c r="N274" s="21"/>
      <c r="O274" s="21"/>
      <c r="P274" s="306"/>
    </row>
    <row r="275" spans="1:16" ht="39" customHeight="1" x14ac:dyDescent="0.2">
      <c r="A275" s="723" t="s">
        <v>455</v>
      </c>
      <c r="B275" s="25" t="s">
        <v>240</v>
      </c>
      <c r="C275" s="25" t="s">
        <v>216</v>
      </c>
      <c r="D275" s="25">
        <v>1</v>
      </c>
      <c r="E275" s="312">
        <v>14500</v>
      </c>
      <c r="F275" s="731"/>
      <c r="G275" s="542"/>
      <c r="H275" s="542"/>
      <c r="I275" s="542"/>
      <c r="J275" s="542"/>
      <c r="K275" s="519"/>
      <c r="L275" s="519"/>
      <c r="M275" s="325"/>
      <c r="N275" s="21"/>
      <c r="O275" s="21"/>
      <c r="P275" s="306"/>
    </row>
    <row r="276" spans="1:16" ht="39" customHeight="1" x14ac:dyDescent="0.2">
      <c r="A276" s="723"/>
      <c r="B276" s="25" t="s">
        <v>217</v>
      </c>
      <c r="C276" s="25" t="s">
        <v>218</v>
      </c>
      <c r="D276" s="25">
        <v>31</v>
      </c>
      <c r="E276" s="312">
        <v>21700</v>
      </c>
      <c r="F276" s="731"/>
      <c r="G276" s="542"/>
      <c r="H276" s="542"/>
      <c r="I276" s="542"/>
      <c r="J276" s="542"/>
      <c r="K276" s="519"/>
      <c r="L276" s="519"/>
      <c r="M276" s="325"/>
      <c r="N276" s="21"/>
      <c r="O276" s="21"/>
      <c r="P276" s="306"/>
    </row>
    <row r="277" spans="1:16" ht="27" x14ac:dyDescent="0.2">
      <c r="A277" s="723"/>
      <c r="B277" s="378" t="s">
        <v>241</v>
      </c>
      <c r="C277" s="25" t="s">
        <v>219</v>
      </c>
      <c r="D277" s="25">
        <v>1</v>
      </c>
      <c r="E277" s="312">
        <v>22000</v>
      </c>
      <c r="F277" s="731"/>
      <c r="G277" s="542"/>
      <c r="H277" s="542"/>
      <c r="I277" s="542"/>
      <c r="J277" s="542"/>
      <c r="K277" s="519"/>
      <c r="L277" s="519"/>
      <c r="M277" s="325"/>
      <c r="N277" s="21"/>
      <c r="O277" s="21"/>
      <c r="P277" s="306"/>
    </row>
    <row r="278" spans="1:16" x14ac:dyDescent="0.2">
      <c r="A278" s="322"/>
      <c r="B278" s="25"/>
      <c r="C278" s="25"/>
      <c r="D278" s="25"/>
      <c r="E278" s="312"/>
      <c r="F278" s="323"/>
      <c r="G278" s="324"/>
      <c r="H278" s="324"/>
      <c r="I278" s="325"/>
      <c r="J278" s="325"/>
      <c r="K278" s="325"/>
      <c r="L278" s="325"/>
      <c r="M278" s="325"/>
      <c r="N278" s="21"/>
      <c r="O278" s="21"/>
      <c r="P278" s="306"/>
    </row>
    <row r="279" spans="1:16" x14ac:dyDescent="0.2">
      <c r="A279" s="307"/>
      <c r="B279" s="25" t="s">
        <v>220</v>
      </c>
      <c r="C279" s="25"/>
      <c r="D279" s="25"/>
      <c r="E279" s="25"/>
      <c r="F279" s="323"/>
      <c r="G279" s="324"/>
      <c r="H279" s="324"/>
      <c r="I279" s="325"/>
      <c r="J279" s="325"/>
      <c r="K279" s="325"/>
      <c r="L279" s="325"/>
      <c r="M279" s="325"/>
      <c r="N279" s="21"/>
      <c r="O279" s="21"/>
      <c r="P279" s="306"/>
    </row>
    <row r="280" spans="1:16" x14ac:dyDescent="0.2">
      <c r="A280" s="307"/>
      <c r="B280" s="25" t="s">
        <v>221</v>
      </c>
      <c r="C280" s="25"/>
      <c r="D280" s="25"/>
      <c r="E280" s="25"/>
      <c r="F280" s="323"/>
      <c r="G280" s="324"/>
      <c r="H280" s="324"/>
      <c r="I280" s="325"/>
      <c r="J280" s="325"/>
      <c r="K280" s="325"/>
      <c r="L280" s="325"/>
      <c r="M280" s="325"/>
      <c r="N280" s="21"/>
      <c r="O280" s="21"/>
      <c r="P280" s="306"/>
    </row>
    <row r="281" spans="1:16" x14ac:dyDescent="0.2">
      <c r="A281" s="307"/>
      <c r="B281" s="25" t="s">
        <v>222</v>
      </c>
      <c r="C281" s="25"/>
      <c r="D281" s="25"/>
      <c r="E281" s="25"/>
      <c r="F281" s="323"/>
      <c r="G281" s="25"/>
      <c r="H281" s="324"/>
      <c r="I281" s="325"/>
      <c r="J281" s="325"/>
      <c r="K281" s="325"/>
      <c r="L281" s="325"/>
      <c r="M281" s="325"/>
      <c r="N281" s="21"/>
      <c r="O281" s="21"/>
      <c r="P281" s="306"/>
    </row>
    <row r="282" spans="1:16" x14ac:dyDescent="0.2">
      <c r="A282" s="307"/>
      <c r="B282" s="313"/>
      <c r="C282" s="25"/>
      <c r="D282" s="25"/>
      <c r="E282" s="25"/>
      <c r="F282" s="25"/>
      <c r="G282" s="25"/>
      <c r="H282" s="324"/>
      <c r="I282" s="25"/>
      <c r="J282" s="25"/>
      <c r="K282" s="325"/>
      <c r="L282" s="325"/>
      <c r="M282" s="325"/>
      <c r="N282" s="325"/>
      <c r="O282" s="326"/>
      <c r="P282" s="306"/>
    </row>
    <row r="283" spans="1:16" x14ac:dyDescent="0.2">
      <c r="A283" s="307"/>
      <c r="B283" s="25"/>
      <c r="C283" s="25"/>
      <c r="D283" s="25"/>
      <c r="E283" s="25"/>
      <c r="F283" s="25"/>
      <c r="G283" s="25"/>
      <c r="H283" s="25"/>
      <c r="I283" s="321"/>
      <c r="J283" s="21"/>
      <c r="K283" s="326"/>
      <c r="L283" s="326"/>
      <c r="M283" s="326"/>
      <c r="N283" s="326"/>
      <c r="O283" s="326"/>
      <c r="P283" s="306"/>
    </row>
    <row r="284" spans="1:16" x14ac:dyDescent="0.2">
      <c r="A284" s="310" t="s">
        <v>288</v>
      </c>
      <c r="B284" s="21"/>
      <c r="C284" s="21"/>
      <c r="D284" s="21"/>
      <c r="E284" s="21"/>
      <c r="F284" s="21"/>
      <c r="G284" s="21"/>
      <c r="H284" s="321"/>
      <c r="I284" s="21"/>
      <c r="J284" s="21"/>
      <c r="K284" s="21"/>
      <c r="L284" s="21"/>
      <c r="M284" s="21"/>
      <c r="N284" s="21"/>
      <c r="O284" s="21"/>
      <c r="P284" s="306"/>
    </row>
    <row r="285" spans="1:16" ht="21.75" customHeight="1" x14ac:dyDescent="0.2">
      <c r="A285" s="310" t="s">
        <v>85</v>
      </c>
      <c r="B285" s="311" t="s">
        <v>91</v>
      </c>
      <c r="C285" s="311" t="s">
        <v>92</v>
      </c>
      <c r="D285" s="311" t="s">
        <v>111</v>
      </c>
      <c r="E285" s="311" t="s">
        <v>112</v>
      </c>
      <c r="F285" s="311" t="s">
        <v>113</v>
      </c>
      <c r="G285" s="311" t="s">
        <v>114</v>
      </c>
      <c r="H285" s="311" t="s">
        <v>115</v>
      </c>
      <c r="I285" s="21"/>
      <c r="J285" s="21"/>
      <c r="K285" s="21"/>
      <c r="L285" s="21"/>
      <c r="M285" s="21"/>
      <c r="N285" s="21"/>
      <c r="O285" s="21"/>
      <c r="P285" s="306"/>
    </row>
    <row r="286" spans="1:16" ht="21.75" customHeight="1" x14ac:dyDescent="0.2">
      <c r="A286" s="729" t="s">
        <v>93</v>
      </c>
      <c r="B286" s="738" t="s">
        <v>94</v>
      </c>
      <c r="C286" s="738" t="s">
        <v>423</v>
      </c>
      <c r="D286" s="727">
        <v>0.93700000000000006</v>
      </c>
      <c r="E286" s="727">
        <v>0.82299999999999995</v>
      </c>
      <c r="F286" s="727">
        <v>0.66600000000000004</v>
      </c>
      <c r="G286" s="727">
        <f>MEDIAN(D286:F286)</f>
        <v>0.82299999999999995</v>
      </c>
      <c r="H286" s="727">
        <f>AVERAGE(D286:F286)</f>
        <v>0.80866666666666676</v>
      </c>
      <c r="I286" s="21"/>
      <c r="J286" s="21"/>
      <c r="K286" s="21"/>
      <c r="L286" s="21"/>
      <c r="M286" s="21"/>
      <c r="N286" s="21"/>
      <c r="O286" s="21"/>
      <c r="P286" s="306"/>
    </row>
    <row r="287" spans="1:16" ht="21.75" customHeight="1" x14ac:dyDescent="0.2">
      <c r="A287" s="729"/>
      <c r="B287" s="738"/>
      <c r="C287" s="738"/>
      <c r="D287" s="727"/>
      <c r="E287" s="727"/>
      <c r="F287" s="727"/>
      <c r="G287" s="727"/>
      <c r="H287" s="727"/>
      <c r="I287" s="21"/>
      <c r="J287" s="21"/>
      <c r="K287" s="21"/>
      <c r="L287" s="21"/>
      <c r="M287" s="21"/>
      <c r="N287" s="21"/>
      <c r="O287" s="21"/>
      <c r="P287" s="306"/>
    </row>
    <row r="288" spans="1:16" ht="21.75" customHeight="1" x14ac:dyDescent="0.2">
      <c r="A288" s="729"/>
      <c r="B288" s="738"/>
      <c r="C288" s="738"/>
      <c r="D288" s="727"/>
      <c r="E288" s="727"/>
      <c r="F288" s="727"/>
      <c r="G288" s="727"/>
      <c r="H288" s="727"/>
      <c r="I288" s="21"/>
      <c r="J288" s="21"/>
      <c r="K288" s="21"/>
      <c r="L288" s="21"/>
      <c r="M288" s="21"/>
      <c r="N288" s="21"/>
      <c r="O288" s="21"/>
      <c r="P288" s="306"/>
    </row>
    <row r="289" spans="1:16" ht="21.75" customHeight="1" x14ac:dyDescent="0.2">
      <c r="A289" s="729"/>
      <c r="B289" s="738"/>
      <c r="C289" s="738"/>
      <c r="D289" s="727"/>
      <c r="E289" s="727"/>
      <c r="F289" s="727"/>
      <c r="G289" s="727"/>
      <c r="H289" s="727"/>
      <c r="I289" s="21"/>
      <c r="J289" s="21"/>
      <c r="K289" s="21"/>
      <c r="L289" s="21"/>
      <c r="M289" s="21"/>
      <c r="N289" s="21"/>
      <c r="O289" s="21"/>
      <c r="P289" s="306"/>
    </row>
    <row r="290" spans="1:16" ht="21.75" customHeight="1" x14ac:dyDescent="0.2">
      <c r="A290" s="729"/>
      <c r="B290" s="738"/>
      <c r="C290" s="738"/>
      <c r="D290" s="727"/>
      <c r="E290" s="727"/>
      <c r="F290" s="727"/>
      <c r="G290" s="727"/>
      <c r="H290" s="727"/>
      <c r="I290" s="21"/>
      <c r="J290" s="21"/>
      <c r="K290" s="21"/>
      <c r="L290" s="21"/>
      <c r="M290" s="21"/>
      <c r="N290" s="21"/>
      <c r="O290" s="21"/>
      <c r="P290" s="306"/>
    </row>
    <row r="291" spans="1:16" ht="15" customHeight="1" x14ac:dyDescent="0.2">
      <c r="A291" s="729"/>
      <c r="B291" s="738"/>
      <c r="C291" s="738"/>
      <c r="D291" s="727"/>
      <c r="E291" s="727"/>
      <c r="F291" s="727"/>
      <c r="G291" s="727"/>
      <c r="H291" s="727"/>
      <c r="I291" s="21"/>
      <c r="J291" s="21"/>
      <c r="K291" s="21"/>
      <c r="L291" s="21"/>
      <c r="M291" s="21"/>
      <c r="N291" s="21"/>
      <c r="O291" s="21"/>
      <c r="P291" s="306"/>
    </row>
    <row r="292" spans="1:16" ht="14.25" customHeight="1" x14ac:dyDescent="0.2">
      <c r="A292" s="723" t="s">
        <v>176</v>
      </c>
      <c r="B292" s="738"/>
      <c r="C292" s="738"/>
      <c r="D292" s="727"/>
      <c r="E292" s="727"/>
      <c r="F292" s="727"/>
      <c r="G292" s="727"/>
      <c r="H292" s="727"/>
      <c r="I292" s="21"/>
      <c r="J292" s="21"/>
      <c r="K292" s="21"/>
      <c r="L292" s="21"/>
      <c r="M292" s="21"/>
      <c r="N292" s="21"/>
      <c r="O292" s="21"/>
      <c r="P292" s="306"/>
    </row>
    <row r="293" spans="1:16" x14ac:dyDescent="0.2">
      <c r="A293" s="723"/>
      <c r="B293" s="738"/>
      <c r="C293" s="738"/>
      <c r="D293" s="727"/>
      <c r="E293" s="727"/>
      <c r="F293" s="727"/>
      <c r="G293" s="727"/>
      <c r="H293" s="727"/>
      <c r="I293" s="21"/>
      <c r="J293" s="21"/>
      <c r="K293" s="21"/>
      <c r="L293" s="21"/>
      <c r="M293" s="21"/>
      <c r="N293" s="21"/>
      <c r="O293" s="21"/>
      <c r="P293" s="306"/>
    </row>
    <row r="294" spans="1:16" x14ac:dyDescent="0.2">
      <c r="A294" s="723"/>
      <c r="B294" s="738"/>
      <c r="C294" s="738"/>
      <c r="D294" s="727"/>
      <c r="E294" s="727"/>
      <c r="F294" s="727"/>
      <c r="G294" s="727"/>
      <c r="H294" s="727"/>
      <c r="I294" s="21"/>
      <c r="J294" s="21"/>
      <c r="K294" s="21"/>
      <c r="L294" s="21"/>
      <c r="M294" s="21"/>
      <c r="N294" s="21"/>
      <c r="O294" s="21"/>
      <c r="P294" s="306"/>
    </row>
    <row r="295" spans="1:16" x14ac:dyDescent="0.2">
      <c r="A295" s="723"/>
      <c r="B295" s="738"/>
      <c r="C295" s="738"/>
      <c r="D295" s="727"/>
      <c r="E295" s="727"/>
      <c r="F295" s="727"/>
      <c r="G295" s="727"/>
      <c r="H295" s="727"/>
      <c r="I295" s="21"/>
      <c r="J295" s="21"/>
      <c r="K295" s="21"/>
      <c r="L295" s="21"/>
      <c r="M295" s="21"/>
      <c r="N295" s="21"/>
      <c r="O295" s="21"/>
      <c r="P295" s="306"/>
    </row>
    <row r="296" spans="1:16" x14ac:dyDescent="0.2">
      <c r="A296" s="723"/>
      <c r="B296" s="738"/>
      <c r="C296" s="738"/>
      <c r="D296" s="727"/>
      <c r="E296" s="727"/>
      <c r="F296" s="727"/>
      <c r="G296" s="727"/>
      <c r="H296" s="727"/>
      <c r="I296" s="21"/>
      <c r="J296" s="21"/>
      <c r="K296" s="21"/>
      <c r="L296" s="21"/>
      <c r="M296" s="21"/>
      <c r="N296" s="21"/>
      <c r="O296" s="21"/>
      <c r="P296" s="306"/>
    </row>
    <row r="297" spans="1:16" x14ac:dyDescent="0.2">
      <c r="A297" s="723"/>
      <c r="B297" s="738"/>
      <c r="C297" s="738"/>
      <c r="D297" s="727"/>
      <c r="E297" s="727"/>
      <c r="F297" s="727"/>
      <c r="G297" s="727"/>
      <c r="H297" s="727"/>
      <c r="I297" s="21"/>
      <c r="J297" s="21"/>
      <c r="K297" s="21"/>
      <c r="L297" s="21"/>
      <c r="M297" s="21"/>
      <c r="N297" s="21"/>
      <c r="O297" s="21"/>
      <c r="P297" s="306"/>
    </row>
    <row r="298" spans="1:16" x14ac:dyDescent="0.2">
      <c r="A298" s="723"/>
      <c r="B298" s="738"/>
      <c r="C298" s="738"/>
      <c r="D298" s="727"/>
      <c r="E298" s="727"/>
      <c r="F298" s="727"/>
      <c r="G298" s="727"/>
      <c r="H298" s="727"/>
      <c r="I298" s="21"/>
      <c r="J298" s="21"/>
      <c r="K298" s="21"/>
      <c r="L298" s="21"/>
      <c r="M298" s="21"/>
      <c r="N298" s="21"/>
      <c r="O298" s="21"/>
      <c r="P298" s="306"/>
    </row>
    <row r="299" spans="1:16" x14ac:dyDescent="0.2">
      <c r="A299" s="723"/>
      <c r="B299" s="738"/>
      <c r="C299" s="738"/>
      <c r="D299" s="727"/>
      <c r="E299" s="727"/>
      <c r="F299" s="727"/>
      <c r="G299" s="727"/>
      <c r="H299" s="727"/>
      <c r="I299" s="21"/>
      <c r="J299" s="21"/>
      <c r="K299" s="21"/>
      <c r="L299" s="21"/>
      <c r="M299" s="21"/>
      <c r="N299" s="21"/>
      <c r="O299" s="21"/>
      <c r="P299" s="306"/>
    </row>
    <row r="300" spans="1:16" x14ac:dyDescent="0.2">
      <c r="A300" s="723"/>
      <c r="B300" s="738"/>
      <c r="C300" s="738"/>
      <c r="D300" s="727"/>
      <c r="E300" s="727"/>
      <c r="F300" s="727"/>
      <c r="G300" s="727"/>
      <c r="H300" s="727"/>
      <c r="I300" s="21"/>
      <c r="J300" s="21"/>
      <c r="K300" s="21"/>
      <c r="L300" s="21"/>
      <c r="M300" s="21"/>
      <c r="N300" s="21"/>
      <c r="O300" s="21"/>
      <c r="P300" s="306"/>
    </row>
    <row r="301" spans="1:16" x14ac:dyDescent="0.2">
      <c r="A301" s="723"/>
      <c r="B301" s="738"/>
      <c r="C301" s="738"/>
      <c r="D301" s="727"/>
      <c r="E301" s="727"/>
      <c r="F301" s="727"/>
      <c r="G301" s="727"/>
      <c r="H301" s="727"/>
      <c r="I301" s="21"/>
      <c r="J301" s="21"/>
      <c r="K301" s="21"/>
      <c r="L301" s="21"/>
      <c r="M301" s="21"/>
      <c r="N301" s="21"/>
      <c r="O301" s="21"/>
      <c r="P301" s="306"/>
    </row>
    <row r="302" spans="1:16" x14ac:dyDescent="0.2">
      <c r="A302" s="327"/>
      <c r="B302" s="328"/>
      <c r="C302" s="329"/>
      <c r="D302" s="330"/>
      <c r="E302" s="331"/>
      <c r="F302" s="328"/>
      <c r="G302" s="332"/>
      <c r="H302" s="332"/>
      <c r="I302" s="332"/>
      <c r="J302" s="332"/>
      <c r="K302" s="332"/>
      <c r="L302" s="328"/>
      <c r="M302" s="328"/>
      <c r="N302" s="328"/>
      <c r="O302" s="328"/>
      <c r="P302" s="333"/>
    </row>
    <row r="303" spans="1:16" x14ac:dyDescent="0.2">
      <c r="A303" s="456"/>
      <c r="B303" s="2"/>
      <c r="C303" s="451"/>
      <c r="D303" s="457"/>
      <c r="E303" s="458"/>
      <c r="F303" s="2"/>
      <c r="G303" s="339"/>
      <c r="H303" s="339"/>
      <c r="I303" s="339"/>
      <c r="J303" s="339"/>
      <c r="K303" s="339"/>
      <c r="L303" s="2"/>
      <c r="M303" s="2"/>
      <c r="N303" s="2"/>
      <c r="O303" s="2"/>
      <c r="P303" s="2"/>
    </row>
    <row r="304" spans="1:16" ht="15.75" x14ac:dyDescent="0.2">
      <c r="A304" s="513" t="s">
        <v>424</v>
      </c>
      <c r="C304" s="447"/>
      <c r="D304" s="448"/>
      <c r="E304" s="449"/>
      <c r="G304" s="288"/>
      <c r="H304" s="288"/>
      <c r="I304" s="288"/>
      <c r="J304" s="288"/>
      <c r="K304" s="288"/>
    </row>
    <row r="305" spans="1:16" x14ac:dyDescent="0.2">
      <c r="A305" s="145" t="s">
        <v>321</v>
      </c>
      <c r="B305" s="146"/>
      <c r="C305" s="147"/>
      <c r="D305" s="148"/>
      <c r="E305" s="149"/>
      <c r="F305" s="146"/>
      <c r="G305" s="150"/>
      <c r="H305" s="150"/>
      <c r="I305" s="150"/>
      <c r="J305" s="150"/>
      <c r="K305" s="150"/>
      <c r="L305" s="146"/>
      <c r="M305" s="146"/>
      <c r="N305" s="146"/>
      <c r="O305" s="146"/>
      <c r="P305" s="151"/>
    </row>
    <row r="306" spans="1:16" ht="28.5" customHeight="1" x14ac:dyDescent="0.2">
      <c r="A306" s="720" t="s">
        <v>289</v>
      </c>
      <c r="B306" s="708" t="s">
        <v>320</v>
      </c>
      <c r="C306" s="708" t="s">
        <v>319</v>
      </c>
      <c r="D306" s="708"/>
      <c r="E306" s="721" t="s">
        <v>290</v>
      </c>
      <c r="F306" s="708" t="s">
        <v>291</v>
      </c>
      <c r="G306" s="708" t="s">
        <v>292</v>
      </c>
      <c r="H306" s="708" t="s">
        <v>293</v>
      </c>
      <c r="I306" s="708" t="s">
        <v>294</v>
      </c>
      <c r="J306" s="708" t="s">
        <v>295</v>
      </c>
      <c r="K306" s="708" t="s">
        <v>296</v>
      </c>
      <c r="L306" s="708" t="s">
        <v>297</v>
      </c>
      <c r="M306" s="708" t="s">
        <v>298</v>
      </c>
      <c r="N306" s="708" t="s">
        <v>299</v>
      </c>
      <c r="O306" s="133"/>
      <c r="P306" s="152"/>
    </row>
    <row r="307" spans="1:16" x14ac:dyDescent="0.2">
      <c r="A307" s="720"/>
      <c r="B307" s="708"/>
      <c r="C307" s="708"/>
      <c r="D307" s="708"/>
      <c r="E307" s="721"/>
      <c r="F307" s="708"/>
      <c r="G307" s="708"/>
      <c r="H307" s="708"/>
      <c r="I307" s="708"/>
      <c r="J307" s="708"/>
      <c r="K307" s="708"/>
      <c r="L307" s="708"/>
      <c r="M307" s="708"/>
      <c r="N307" s="708"/>
      <c r="O307" s="133"/>
      <c r="P307" s="152"/>
    </row>
    <row r="308" spans="1:16" x14ac:dyDescent="0.2">
      <c r="A308" s="722">
        <v>234000</v>
      </c>
      <c r="B308" s="717">
        <v>207</v>
      </c>
      <c r="C308" s="708" t="s">
        <v>300</v>
      </c>
      <c r="D308" s="708"/>
      <c r="E308" s="708" t="s">
        <v>301</v>
      </c>
      <c r="F308" s="708" t="s">
        <v>302</v>
      </c>
      <c r="G308" s="708" t="s">
        <v>303</v>
      </c>
      <c r="H308" s="708" t="s">
        <v>304</v>
      </c>
      <c r="I308" s="708" t="s">
        <v>305</v>
      </c>
      <c r="J308" s="708" t="s">
        <v>306</v>
      </c>
      <c r="K308" s="709">
        <v>6000</v>
      </c>
      <c r="L308" s="708" t="s">
        <v>304</v>
      </c>
      <c r="M308" s="708" t="s">
        <v>307</v>
      </c>
      <c r="N308" s="708" t="s">
        <v>308</v>
      </c>
      <c r="O308" s="708">
        <v>2018</v>
      </c>
      <c r="P308" s="152"/>
    </row>
    <row r="309" spans="1:16" x14ac:dyDescent="0.2">
      <c r="A309" s="716"/>
      <c r="B309" s="708"/>
      <c r="C309" s="708"/>
      <c r="D309" s="708"/>
      <c r="E309" s="708"/>
      <c r="F309" s="708"/>
      <c r="G309" s="708"/>
      <c r="H309" s="708"/>
      <c r="I309" s="708"/>
      <c r="J309" s="708"/>
      <c r="K309" s="708"/>
      <c r="L309" s="708"/>
      <c r="M309" s="708"/>
      <c r="N309" s="708"/>
      <c r="O309" s="708"/>
      <c r="P309" s="152"/>
    </row>
    <row r="310" spans="1:16" x14ac:dyDescent="0.2">
      <c r="A310" s="716"/>
      <c r="B310" s="717"/>
      <c r="C310" s="717"/>
      <c r="D310" s="708"/>
      <c r="E310" s="708"/>
      <c r="F310" s="708" t="s">
        <v>309</v>
      </c>
      <c r="G310" s="708" t="s">
        <v>310</v>
      </c>
      <c r="H310" s="708" t="s">
        <v>310</v>
      </c>
      <c r="I310" s="708" t="s">
        <v>311</v>
      </c>
      <c r="J310" s="708" t="s">
        <v>304</v>
      </c>
      <c r="K310" s="709">
        <v>12000</v>
      </c>
      <c r="L310" s="709">
        <v>7000</v>
      </c>
      <c r="M310" s="709">
        <v>15000</v>
      </c>
      <c r="N310" s="708" t="s">
        <v>312</v>
      </c>
      <c r="O310" s="708">
        <v>2017</v>
      </c>
      <c r="P310" s="152"/>
    </row>
    <row r="311" spans="1:16" ht="15" customHeight="1" x14ac:dyDescent="0.2">
      <c r="A311" s="716"/>
      <c r="B311" s="708"/>
      <c r="C311" s="708"/>
      <c r="D311" s="708"/>
      <c r="E311" s="708"/>
      <c r="F311" s="708"/>
      <c r="G311" s="708"/>
      <c r="H311" s="708"/>
      <c r="I311" s="708"/>
      <c r="J311" s="708"/>
      <c r="K311" s="708"/>
      <c r="L311" s="708"/>
      <c r="M311" s="708"/>
      <c r="N311" s="708"/>
      <c r="O311" s="708"/>
      <c r="P311" s="128" t="s">
        <v>115</v>
      </c>
    </row>
    <row r="312" spans="1:16" x14ac:dyDescent="0.2">
      <c r="A312" s="716"/>
      <c r="B312" s="717"/>
      <c r="C312" s="717"/>
      <c r="D312" s="708"/>
      <c r="E312" s="708"/>
      <c r="F312" s="718" t="s">
        <v>313</v>
      </c>
      <c r="G312" s="719">
        <f>AVERAGE(3000,5000,2000,6000)</f>
        <v>4000</v>
      </c>
      <c r="H312" s="719">
        <f>AVERAGE(3000,6000,4000,9000)</f>
        <v>5500</v>
      </c>
      <c r="I312" s="719">
        <f>AVERAGE(4000,6000,4000,9000)</f>
        <v>5750</v>
      </c>
      <c r="J312" s="719">
        <f>AVERAGE(3000,12000,4000,5000)</f>
        <v>6000</v>
      </c>
      <c r="K312" s="719">
        <f>AVERAGE(3000,9000,4000,6000)</f>
        <v>5500</v>
      </c>
      <c r="L312" s="719">
        <f>AVERAGE(6000,12000)</f>
        <v>9000</v>
      </c>
      <c r="M312" s="719">
        <f>AVERAGE(4000,6000,7000)</f>
        <v>5666.666666666667</v>
      </c>
      <c r="N312" s="719">
        <f>AVERAGE(6000,15000,15000)</f>
        <v>12000</v>
      </c>
      <c r="O312" s="719">
        <f>AVERAGE(4000,31650,6000,12000)</f>
        <v>13412.5</v>
      </c>
      <c r="P312" s="714">
        <f>AVERAGE(G311:O312)</f>
        <v>7425.4629629629617</v>
      </c>
    </row>
    <row r="313" spans="1:16" x14ac:dyDescent="0.2">
      <c r="A313" s="716"/>
      <c r="B313" s="708"/>
      <c r="C313" s="708"/>
      <c r="D313" s="708"/>
      <c r="E313" s="708"/>
      <c r="F313" s="718"/>
      <c r="G313" s="719"/>
      <c r="H313" s="719"/>
      <c r="I313" s="719"/>
      <c r="J313" s="719"/>
      <c r="K313" s="719"/>
      <c r="L313" s="719"/>
      <c r="M313" s="719"/>
      <c r="N313" s="719"/>
      <c r="O313" s="719"/>
      <c r="P313" s="715"/>
    </row>
    <row r="314" spans="1:16" ht="15" x14ac:dyDescent="0.2">
      <c r="A314" s="334"/>
      <c r="B314" s="129"/>
      <c r="C314" s="129"/>
      <c r="D314" s="129"/>
      <c r="E314" s="129"/>
      <c r="F314" s="130"/>
      <c r="G314" s="126"/>
      <c r="H314" s="126"/>
      <c r="I314" s="126"/>
      <c r="J314" s="126"/>
      <c r="K314" s="126"/>
      <c r="L314" s="126"/>
      <c r="M314" s="126"/>
      <c r="N314" s="126"/>
      <c r="O314" s="126"/>
      <c r="P314" s="131"/>
    </row>
    <row r="315" spans="1:16" ht="15" x14ac:dyDescent="0.2">
      <c r="A315" s="578" t="s">
        <v>322</v>
      </c>
      <c r="B315" s="563"/>
      <c r="C315" s="563"/>
      <c r="D315" s="563"/>
      <c r="E315" s="129"/>
      <c r="F315" s="130"/>
      <c r="G315" s="126"/>
      <c r="H315" s="126"/>
      <c r="I315" s="628"/>
      <c r="J315" s="628" t="s">
        <v>543</v>
      </c>
      <c r="K315" s="126"/>
      <c r="L315" s="126"/>
      <c r="M315" s="126"/>
      <c r="N315" s="126"/>
      <c r="O315" s="126"/>
      <c r="P315" s="131"/>
    </row>
    <row r="316" spans="1:16" ht="45.75" customHeight="1" x14ac:dyDescent="0.2">
      <c r="A316" s="578" t="s">
        <v>323</v>
      </c>
      <c r="B316" s="563"/>
      <c r="C316" s="563"/>
      <c r="D316" s="563"/>
      <c r="E316" s="129"/>
      <c r="F316" s="130"/>
      <c r="G316" s="126"/>
      <c r="H316" s="126"/>
      <c r="I316" s="708" t="s">
        <v>291</v>
      </c>
      <c r="J316" s="708"/>
      <c r="K316" s="708" t="s">
        <v>302</v>
      </c>
      <c r="L316" s="708"/>
      <c r="M316" s="708" t="s">
        <v>309</v>
      </c>
      <c r="N316" s="708"/>
      <c r="O316" s="718" t="s">
        <v>313</v>
      </c>
      <c r="P316" s="718"/>
    </row>
    <row r="317" spans="1:16" ht="25.5" x14ac:dyDescent="0.2">
      <c r="A317" s="132" t="s">
        <v>314</v>
      </c>
      <c r="B317" s="124" t="s">
        <v>315</v>
      </c>
      <c r="C317" s="124" t="s">
        <v>316</v>
      </c>
      <c r="D317" s="133" t="s">
        <v>317</v>
      </c>
      <c r="E317" s="134"/>
      <c r="F317" s="20" t="s">
        <v>542</v>
      </c>
      <c r="G317" s="135"/>
      <c r="H317" s="135"/>
      <c r="I317" s="708" t="s">
        <v>292</v>
      </c>
      <c r="J317" s="708"/>
      <c r="K317" s="708" t="s">
        <v>303</v>
      </c>
      <c r="L317" s="708"/>
      <c r="M317" s="708" t="s">
        <v>310</v>
      </c>
      <c r="N317" s="708"/>
      <c r="O317" s="719">
        <f>AVERAGE(3000,5000,2000,6000)</f>
        <v>4000</v>
      </c>
      <c r="P317" s="719"/>
    </row>
    <row r="318" spans="1:16" x14ac:dyDescent="0.2">
      <c r="A318" s="136">
        <v>2745</v>
      </c>
      <c r="B318" s="81">
        <v>2500</v>
      </c>
      <c r="C318" s="137">
        <v>2500</v>
      </c>
      <c r="D318" s="138">
        <v>1500</v>
      </c>
      <c r="E318" s="134"/>
      <c r="F318" s="127" t="s">
        <v>318</v>
      </c>
      <c r="G318" s="514">
        <f>AVERAGE(D318:D319,C318:C325,B318,A318)</f>
        <v>4466.25</v>
      </c>
      <c r="H318" s="135"/>
      <c r="I318" s="708" t="s">
        <v>293</v>
      </c>
      <c r="J318" s="708"/>
      <c r="K318" s="708" t="s">
        <v>304</v>
      </c>
      <c r="L318" s="708"/>
      <c r="M318" s="708" t="s">
        <v>310</v>
      </c>
      <c r="N318" s="708"/>
      <c r="O318" s="719">
        <f>AVERAGE(3000,6000,4000,9000)</f>
        <v>5500</v>
      </c>
      <c r="P318" s="719"/>
    </row>
    <row r="319" spans="1:16" x14ac:dyDescent="0.2">
      <c r="A319" s="139"/>
      <c r="B319" s="23"/>
      <c r="C319" s="81">
        <v>6000</v>
      </c>
      <c r="D319" s="138">
        <v>1500</v>
      </c>
      <c r="E319" s="134"/>
      <c r="F319" s="20"/>
      <c r="G319" s="135"/>
      <c r="H319" s="135"/>
      <c r="I319" s="708" t="s">
        <v>294</v>
      </c>
      <c r="J319" s="708"/>
      <c r="K319" s="708" t="s">
        <v>305</v>
      </c>
      <c r="L319" s="708"/>
      <c r="M319" s="708" t="s">
        <v>311</v>
      </c>
      <c r="N319" s="708"/>
      <c r="O319" s="719">
        <f>AVERAGE(4000,6000,4000,9000)</f>
        <v>5750</v>
      </c>
      <c r="P319" s="719"/>
    </row>
    <row r="320" spans="1:16" x14ac:dyDescent="0.2">
      <c r="A320" s="140"/>
      <c r="B320" s="23"/>
      <c r="C320" s="81">
        <v>7900</v>
      </c>
      <c r="D320" s="141"/>
      <c r="E320" s="134"/>
      <c r="F320" s="20"/>
      <c r="G320" s="135"/>
      <c r="H320" s="135"/>
      <c r="I320" s="708" t="s">
        <v>295</v>
      </c>
      <c r="J320" s="708"/>
      <c r="K320" s="708" t="s">
        <v>306</v>
      </c>
      <c r="L320" s="708"/>
      <c r="M320" s="708" t="s">
        <v>304</v>
      </c>
      <c r="N320" s="708"/>
      <c r="O320" s="719">
        <f>AVERAGE(3000,12000,4000,5000)</f>
        <v>6000</v>
      </c>
      <c r="P320" s="719"/>
    </row>
    <row r="321" spans="1:16" x14ac:dyDescent="0.2">
      <c r="A321" s="140"/>
      <c r="B321" s="23"/>
      <c r="C321" s="81">
        <v>4100</v>
      </c>
      <c r="D321" s="141"/>
      <c r="E321" s="134"/>
      <c r="F321" s="20"/>
      <c r="G321" s="135"/>
      <c r="H321" s="135"/>
      <c r="I321" s="708" t="s">
        <v>296</v>
      </c>
      <c r="J321" s="708"/>
      <c r="K321" s="709">
        <v>6000</v>
      </c>
      <c r="L321" s="708"/>
      <c r="M321" s="709">
        <v>12000</v>
      </c>
      <c r="N321" s="708"/>
      <c r="O321" s="719">
        <f>AVERAGE(3000,9000,4000,6000)</f>
        <v>5500</v>
      </c>
      <c r="P321" s="719"/>
    </row>
    <row r="322" spans="1:16" x14ac:dyDescent="0.2">
      <c r="A322" s="140"/>
      <c r="B322" s="23"/>
      <c r="C322" s="81">
        <v>8600</v>
      </c>
      <c r="D322" s="141"/>
      <c r="E322" s="134"/>
      <c r="F322" s="20"/>
      <c r="G322" s="135"/>
      <c r="H322" s="135"/>
      <c r="I322" s="708" t="s">
        <v>297</v>
      </c>
      <c r="J322" s="708"/>
      <c r="K322" s="708" t="s">
        <v>304</v>
      </c>
      <c r="L322" s="708"/>
      <c r="M322" s="709">
        <v>7000</v>
      </c>
      <c r="N322" s="708"/>
      <c r="O322" s="719">
        <f>AVERAGE(6000,12000)</f>
        <v>9000</v>
      </c>
      <c r="P322" s="719"/>
    </row>
    <row r="323" spans="1:16" x14ac:dyDescent="0.2">
      <c r="A323" s="140"/>
      <c r="B323" s="23"/>
      <c r="C323" s="81">
        <v>7500</v>
      </c>
      <c r="D323" s="141"/>
      <c r="E323" s="134"/>
      <c r="F323" s="20"/>
      <c r="G323" s="135"/>
      <c r="H323" s="135"/>
      <c r="I323" s="708" t="s">
        <v>298</v>
      </c>
      <c r="J323" s="708"/>
      <c r="K323" s="708" t="s">
        <v>307</v>
      </c>
      <c r="L323" s="708"/>
      <c r="M323" s="709">
        <v>15000</v>
      </c>
      <c r="N323" s="708"/>
      <c r="O323" s="719">
        <f>AVERAGE(4000,6000,7000)</f>
        <v>5666.666666666667</v>
      </c>
      <c r="P323" s="719"/>
    </row>
    <row r="324" spans="1:16" x14ac:dyDescent="0.2">
      <c r="A324" s="140"/>
      <c r="B324" s="23"/>
      <c r="C324" s="81">
        <v>6800</v>
      </c>
      <c r="D324" s="141"/>
      <c r="E324" s="134"/>
      <c r="F324" s="20"/>
      <c r="G324" s="135"/>
      <c r="H324" s="135"/>
      <c r="I324" s="708" t="s">
        <v>299</v>
      </c>
      <c r="J324" s="708"/>
      <c r="K324" s="708" t="s">
        <v>308</v>
      </c>
      <c r="L324" s="708"/>
      <c r="M324" s="708" t="s">
        <v>312</v>
      </c>
      <c r="N324" s="708"/>
      <c r="O324" s="719">
        <f>AVERAGE(6000,15000,15000)</f>
        <v>12000</v>
      </c>
      <c r="P324" s="719"/>
    </row>
    <row r="325" spans="1:16" x14ac:dyDescent="0.2">
      <c r="A325" s="140"/>
      <c r="B325" s="23"/>
      <c r="C325" s="81">
        <v>1950</v>
      </c>
      <c r="D325" s="23"/>
      <c r="E325" s="134"/>
      <c r="F325" s="20"/>
      <c r="G325" s="135"/>
      <c r="H325" s="135"/>
      <c r="I325" s="20"/>
      <c r="J325" s="20"/>
      <c r="K325" s="708">
        <v>2018</v>
      </c>
      <c r="L325" s="708"/>
      <c r="M325" s="708">
        <v>2017</v>
      </c>
      <c r="N325" s="708"/>
      <c r="O325" s="719">
        <f>AVERAGE(4000,31650,6000,12000)</f>
        <v>13412.5</v>
      </c>
      <c r="P325" s="719"/>
    </row>
    <row r="326" spans="1:16" x14ac:dyDescent="0.2">
      <c r="A326" s="140"/>
      <c r="B326" s="23"/>
      <c r="C326" s="81"/>
      <c r="D326" s="23"/>
      <c r="E326" s="134"/>
      <c r="F326" s="20"/>
      <c r="G326" s="135"/>
      <c r="H326" s="135"/>
      <c r="I326" s="135"/>
      <c r="J326" s="135"/>
      <c r="K326" s="135"/>
      <c r="L326" s="20"/>
      <c r="M326" s="20"/>
      <c r="N326" s="480"/>
      <c r="O326" s="480"/>
      <c r="P326" s="152"/>
    </row>
    <row r="327" spans="1:16" x14ac:dyDescent="0.2">
      <c r="A327" s="335"/>
      <c r="B327" s="20"/>
      <c r="C327" s="336"/>
      <c r="D327" s="20"/>
      <c r="E327" s="134"/>
      <c r="F327" s="20"/>
      <c r="G327" s="135"/>
      <c r="H327" s="135"/>
      <c r="I327" s="135"/>
      <c r="J327" s="135"/>
      <c r="K327" s="135"/>
      <c r="L327" s="20"/>
      <c r="M327" s="20"/>
      <c r="N327" s="21"/>
      <c r="O327" s="21"/>
      <c r="P327" s="152"/>
    </row>
    <row r="328" spans="1:16" ht="15" x14ac:dyDescent="0.25">
      <c r="A328" s="515" t="s">
        <v>508</v>
      </c>
      <c r="B328" s="516"/>
      <c r="C328" s="517"/>
      <c r="D328" s="518">
        <f>AVERAGE(G318,P312)</f>
        <v>5945.8564814814808</v>
      </c>
      <c r="E328" s="142"/>
      <c r="F328" s="143"/>
      <c r="G328" s="565"/>
      <c r="H328" s="144"/>
      <c r="I328" s="144"/>
      <c r="J328" s="144"/>
      <c r="K328" s="144"/>
      <c r="L328" s="143"/>
      <c r="M328" s="143"/>
      <c r="N328" s="143"/>
      <c r="O328" s="143"/>
      <c r="P328" s="295"/>
    </row>
    <row r="329" spans="1:16" x14ac:dyDescent="0.2">
      <c r="A329" s="166"/>
      <c r="C329" s="447"/>
      <c r="D329" s="448"/>
      <c r="E329" s="449"/>
      <c r="G329" s="288"/>
      <c r="H329" s="288"/>
      <c r="I329" s="99"/>
      <c r="J329" s="99"/>
      <c r="K329" s="99"/>
      <c r="L329" s="19"/>
      <c r="M329" s="19"/>
      <c r="N329" s="19"/>
      <c r="O329" s="19"/>
      <c r="P329" s="19"/>
    </row>
    <row r="330" spans="1:16" ht="18" x14ac:dyDescent="0.25">
      <c r="A330" s="450" t="s">
        <v>482</v>
      </c>
      <c r="B330" s="2"/>
      <c r="C330" s="451"/>
      <c r="D330" s="452"/>
      <c r="E330" s="452"/>
      <c r="F330" s="2"/>
      <c r="G330" s="339"/>
      <c r="H330" s="339"/>
      <c r="I330" s="288"/>
      <c r="J330" s="288"/>
      <c r="K330" s="288"/>
    </row>
    <row r="331" spans="1:16" ht="9.75" customHeight="1" x14ac:dyDescent="0.25">
      <c r="A331" s="450"/>
      <c r="B331" s="2"/>
      <c r="C331" s="451"/>
      <c r="D331" s="452"/>
      <c r="E331" s="452"/>
      <c r="F331" s="2"/>
      <c r="G331" s="339"/>
      <c r="H331" s="339"/>
      <c r="I331" s="288"/>
      <c r="J331" s="288"/>
      <c r="K331" s="288"/>
    </row>
    <row r="332" spans="1:16" x14ac:dyDescent="0.2">
      <c r="A332" s="579" t="s">
        <v>483</v>
      </c>
      <c r="B332" s="2"/>
      <c r="C332" s="2"/>
      <c r="D332" s="338"/>
      <c r="E332" s="338"/>
      <c r="F332" s="2"/>
      <c r="G332" s="339"/>
      <c r="H332" s="339"/>
      <c r="I332" s="288"/>
      <c r="J332" s="288"/>
      <c r="K332" s="288"/>
    </row>
    <row r="333" spans="1:16" x14ac:dyDescent="0.2">
      <c r="A333" s="567" t="s">
        <v>494</v>
      </c>
      <c r="B333" s="568" t="s">
        <v>495</v>
      </c>
      <c r="C333" s="2"/>
      <c r="D333" s="338"/>
      <c r="E333" s="338"/>
      <c r="F333" s="2"/>
      <c r="G333" s="339"/>
      <c r="H333" s="339"/>
      <c r="I333" s="288"/>
      <c r="J333" s="288"/>
      <c r="K333" s="288"/>
    </row>
    <row r="334" spans="1:16" x14ac:dyDescent="0.2">
      <c r="A334" s="569" t="s">
        <v>490</v>
      </c>
      <c r="B334" s="571">
        <v>108</v>
      </c>
      <c r="C334" s="2"/>
      <c r="D334" s="338"/>
      <c r="E334" s="338"/>
      <c r="F334" s="2"/>
      <c r="G334" s="339"/>
      <c r="H334" s="339"/>
      <c r="I334" s="288"/>
      <c r="J334" s="288"/>
      <c r="K334" s="288"/>
    </row>
    <row r="335" spans="1:16" x14ac:dyDescent="0.2">
      <c r="A335" s="569" t="s">
        <v>491</v>
      </c>
      <c r="B335" s="571">
        <v>1100</v>
      </c>
      <c r="C335" s="2"/>
      <c r="D335" s="338"/>
      <c r="E335" s="338"/>
      <c r="F335" s="2"/>
      <c r="G335" s="339"/>
      <c r="H335" s="339"/>
      <c r="I335" s="288"/>
      <c r="J335" s="288"/>
      <c r="K335" s="288"/>
    </row>
    <row r="336" spans="1:16" x14ac:dyDescent="0.2">
      <c r="A336" s="569" t="s">
        <v>492</v>
      </c>
      <c r="B336" s="571">
        <v>215</v>
      </c>
      <c r="C336" s="2"/>
      <c r="D336" s="338"/>
      <c r="E336" s="338"/>
      <c r="F336" s="2"/>
      <c r="G336" s="339"/>
      <c r="H336" s="339"/>
      <c r="I336" s="288"/>
      <c r="J336" s="288"/>
      <c r="K336" s="288"/>
    </row>
    <row r="337" spans="1:11" x14ac:dyDescent="0.2">
      <c r="A337" s="570" t="s">
        <v>493</v>
      </c>
      <c r="B337" s="572">
        <v>215</v>
      </c>
      <c r="C337" s="2"/>
      <c r="D337" s="338"/>
      <c r="E337" s="338"/>
      <c r="F337" s="2"/>
      <c r="G337" s="339"/>
      <c r="H337" s="339"/>
      <c r="I337" s="288"/>
      <c r="J337" s="288"/>
      <c r="K337" s="288"/>
    </row>
    <row r="338" spans="1:11" x14ac:dyDescent="0.2">
      <c r="A338" s="573" t="s">
        <v>496</v>
      </c>
      <c r="B338" s="576">
        <f>AVERAGE(B334:B337)</f>
        <v>409.5</v>
      </c>
      <c r="C338" s="2"/>
      <c r="D338" s="338"/>
      <c r="E338" s="338"/>
      <c r="F338" s="2"/>
      <c r="G338" s="339"/>
      <c r="H338" s="339"/>
      <c r="I338" s="288"/>
      <c r="J338" s="288"/>
      <c r="K338" s="288"/>
    </row>
    <row r="339" spans="1:11" x14ac:dyDescent="0.2">
      <c r="A339" s="566" t="s">
        <v>497</v>
      </c>
      <c r="B339" s="577"/>
      <c r="C339" s="2"/>
      <c r="D339" s="338"/>
      <c r="E339" s="338"/>
      <c r="F339" s="2"/>
      <c r="G339" s="339"/>
      <c r="H339" s="339"/>
      <c r="I339" s="288"/>
      <c r="J339" s="288"/>
      <c r="K339" s="288"/>
    </row>
    <row r="340" spans="1:11" x14ac:dyDescent="0.2">
      <c r="A340" s="446"/>
      <c r="B340" s="2"/>
      <c r="C340" s="2"/>
      <c r="D340" s="338"/>
      <c r="E340" s="338"/>
      <c r="F340" s="2"/>
      <c r="G340" s="339"/>
      <c r="H340" s="339"/>
      <c r="I340" s="288"/>
      <c r="J340" s="288"/>
      <c r="K340" s="288"/>
    </row>
    <row r="341" spans="1:11" x14ac:dyDescent="0.2">
      <c r="A341" s="579" t="s">
        <v>484</v>
      </c>
      <c r="B341" s="2"/>
      <c r="C341" s="2"/>
      <c r="D341" s="338"/>
      <c r="E341" s="338"/>
      <c r="F341" s="2"/>
      <c r="G341" s="339"/>
      <c r="H341" s="339"/>
    </row>
    <row r="342" spans="1:11" x14ac:dyDescent="0.2">
      <c r="A342" s="573" t="s">
        <v>487</v>
      </c>
      <c r="B342" s="574" t="s">
        <v>488</v>
      </c>
      <c r="C342" s="2"/>
      <c r="D342" s="338"/>
      <c r="E342" s="338"/>
      <c r="F342" s="2"/>
      <c r="G342" s="339"/>
      <c r="H342" s="339"/>
    </row>
    <row r="343" spans="1:11" x14ac:dyDescent="0.2">
      <c r="A343" s="337" t="s">
        <v>489</v>
      </c>
      <c r="B343" s="575">
        <f>AVERAGE(3500,5000)</f>
        <v>4250</v>
      </c>
      <c r="E343" s="338"/>
      <c r="F343" s="2"/>
      <c r="G343" s="339"/>
      <c r="H343" s="339"/>
    </row>
    <row r="344" spans="1:11" x14ac:dyDescent="0.2">
      <c r="A344" s="566" t="s">
        <v>497</v>
      </c>
      <c r="B344" s="468"/>
      <c r="C344" s="2"/>
      <c r="D344" s="338"/>
      <c r="E344" s="338"/>
      <c r="F344" s="2"/>
      <c r="G344" s="339"/>
      <c r="H344" s="339"/>
    </row>
    <row r="345" spans="1:11" x14ac:dyDescent="0.2">
      <c r="A345" s="446"/>
      <c r="B345" s="2"/>
      <c r="C345" s="2"/>
      <c r="D345" s="338"/>
      <c r="E345" s="338"/>
      <c r="F345" s="2"/>
      <c r="G345" s="339"/>
      <c r="H345" s="339"/>
    </row>
    <row r="346" spans="1:11" x14ac:dyDescent="0.2">
      <c r="A346" s="585" t="s">
        <v>498</v>
      </c>
      <c r="B346" s="555"/>
      <c r="C346" s="2"/>
      <c r="D346" s="338"/>
      <c r="E346" s="338"/>
      <c r="F346" s="2"/>
      <c r="G346" s="339"/>
      <c r="H346" s="339"/>
    </row>
    <row r="347" spans="1:11" x14ac:dyDescent="0.2">
      <c r="A347" s="584">
        <f>AVERAGE(B343,B338)</f>
        <v>2329.75</v>
      </c>
      <c r="B347" s="468"/>
      <c r="C347" s="2"/>
      <c r="D347" s="338"/>
      <c r="E347" s="338"/>
      <c r="F347" s="2"/>
      <c r="G347" s="339"/>
      <c r="H347" s="339"/>
    </row>
    <row r="348" spans="1:11" x14ac:dyDescent="0.2">
      <c r="A348" s="30"/>
      <c r="B348" s="2"/>
      <c r="C348" s="2"/>
      <c r="D348" s="2"/>
      <c r="E348" s="2"/>
      <c r="F348" s="2"/>
      <c r="G348" s="2"/>
      <c r="H348" s="2"/>
    </row>
  </sheetData>
  <mergeCells count="126">
    <mergeCell ref="I324:J324"/>
    <mergeCell ref="K324:L324"/>
    <mergeCell ref="M324:N324"/>
    <mergeCell ref="O324:P324"/>
    <mergeCell ref="K325:L325"/>
    <mergeCell ref="M325:N325"/>
    <mergeCell ref="O325:P325"/>
    <mergeCell ref="I322:J322"/>
    <mergeCell ref="K322:L322"/>
    <mergeCell ref="M322:N322"/>
    <mergeCell ref="O322:P322"/>
    <mergeCell ref="I323:J323"/>
    <mergeCell ref="K323:L323"/>
    <mergeCell ref="M323:N323"/>
    <mergeCell ref="O323:P323"/>
    <mergeCell ref="I320:J320"/>
    <mergeCell ref="K320:L320"/>
    <mergeCell ref="M320:N320"/>
    <mergeCell ref="O320:P320"/>
    <mergeCell ref="I321:J321"/>
    <mergeCell ref="K321:L321"/>
    <mergeCell ref="M321:N321"/>
    <mergeCell ref="O321:P321"/>
    <mergeCell ref="I318:J318"/>
    <mergeCell ref="K318:L318"/>
    <mergeCell ref="M318:N318"/>
    <mergeCell ref="O318:P318"/>
    <mergeCell ref="I319:J319"/>
    <mergeCell ref="K319:L319"/>
    <mergeCell ref="M319:N319"/>
    <mergeCell ref="O319:P319"/>
    <mergeCell ref="I316:J316"/>
    <mergeCell ref="K316:L316"/>
    <mergeCell ref="M316:N316"/>
    <mergeCell ref="O316:P316"/>
    <mergeCell ref="I317:J317"/>
    <mergeCell ref="K317:L317"/>
    <mergeCell ref="M317:N317"/>
    <mergeCell ref="O317:P317"/>
    <mergeCell ref="B154:C154"/>
    <mergeCell ref="E286:E301"/>
    <mergeCell ref="B286:B301"/>
    <mergeCell ref="K306:K307"/>
    <mergeCell ref="L306:L307"/>
    <mergeCell ref="M306:M307"/>
    <mergeCell ref="K310:K311"/>
    <mergeCell ref="H286:H301"/>
    <mergeCell ref="J306:J307"/>
    <mergeCell ref="N306:N307"/>
    <mergeCell ref="K308:K309"/>
    <mergeCell ref="L308:L309"/>
    <mergeCell ref="F306:F307"/>
    <mergeCell ref="G306:G307"/>
    <mergeCell ref="H306:H307"/>
    <mergeCell ref="I306:I307"/>
    <mergeCell ref="A233:A238"/>
    <mergeCell ref="A195:A223"/>
    <mergeCell ref="B155:C155"/>
    <mergeCell ref="B156:C156"/>
    <mergeCell ref="A124:G124"/>
    <mergeCell ref="A125:G125"/>
    <mergeCell ref="A130:G130"/>
    <mergeCell ref="F286:F301"/>
    <mergeCell ref="G286:G301"/>
    <mergeCell ref="A171:A180"/>
    <mergeCell ref="F233:F264"/>
    <mergeCell ref="A239:A264"/>
    <mergeCell ref="A272:A274"/>
    <mergeCell ref="F272:F277"/>
    <mergeCell ref="A181:A183"/>
    <mergeCell ref="B171:B172"/>
    <mergeCell ref="F171:F183"/>
    <mergeCell ref="D195:D223"/>
    <mergeCell ref="A275:A277"/>
    <mergeCell ref="A224:A229"/>
    <mergeCell ref="A292:A301"/>
    <mergeCell ref="A286:A291"/>
    <mergeCell ref="C286:C301"/>
    <mergeCell ref="D286:D301"/>
    <mergeCell ref="A310:A311"/>
    <mergeCell ref="C306:D307"/>
    <mergeCell ref="E306:E307"/>
    <mergeCell ref="F310:F311"/>
    <mergeCell ref="A308:A309"/>
    <mergeCell ref="B308:B309"/>
    <mergeCell ref="C308:D309"/>
    <mergeCell ref="E308:E309"/>
    <mergeCell ref="F308:F309"/>
    <mergeCell ref="A1:P1"/>
    <mergeCell ref="A117:H117"/>
    <mergeCell ref="P312:P313"/>
    <mergeCell ref="N310:N311"/>
    <mergeCell ref="O310:O311"/>
    <mergeCell ref="A312:A313"/>
    <mergeCell ref="B312:B313"/>
    <mergeCell ref="C312:C313"/>
    <mergeCell ref="D312:E313"/>
    <mergeCell ref="F312:F313"/>
    <mergeCell ref="G312:G313"/>
    <mergeCell ref="H312:H313"/>
    <mergeCell ref="I312:I313"/>
    <mergeCell ref="J312:J313"/>
    <mergeCell ref="K312:K313"/>
    <mergeCell ref="L312:L313"/>
    <mergeCell ref="M312:M313"/>
    <mergeCell ref="N312:N313"/>
    <mergeCell ref="O312:O313"/>
    <mergeCell ref="A306:A307"/>
    <mergeCell ref="B306:B307"/>
    <mergeCell ref="B310:B311"/>
    <mergeCell ref="C310:C311"/>
    <mergeCell ref="D310:E311"/>
    <mergeCell ref="F20:I20"/>
    <mergeCell ref="M308:M309"/>
    <mergeCell ref="N308:N309"/>
    <mergeCell ref="O308:O309"/>
    <mergeCell ref="L310:L311"/>
    <mergeCell ref="M310:M311"/>
    <mergeCell ref="G310:G311"/>
    <mergeCell ref="H310:H311"/>
    <mergeCell ref="I310:I311"/>
    <mergeCell ref="J310:J311"/>
    <mergeCell ref="G308:G309"/>
    <mergeCell ref="H308:H309"/>
    <mergeCell ref="I308:I309"/>
    <mergeCell ref="J308:J309"/>
  </mergeCells>
  <hyperlinks>
    <hyperlink ref="B191" r:id="rId1" xr:uid="{AA47E29C-DC87-4D04-AF45-727C97424CCE}"/>
    <hyperlink ref="B268" r:id="rId2" xr:uid="{C66C36D5-7245-4635-B2DF-F8AEA152ED7F}"/>
  </hyperlinks>
  <pageMargins left="0.7" right="0.7" top="0.75" bottom="0.75" header="0.3" footer="0.3"/>
  <pageSetup orientation="portrait" verticalDpi="120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IntroTab</vt:lpstr>
      <vt:lpstr>Inputs</vt:lpstr>
      <vt:lpstr>Calculations</vt:lpstr>
      <vt:lpstr>Output</vt:lpstr>
      <vt:lpstr>Equations</vt:lpstr>
      <vt:lpstr>CollectedData_References</vt:lpstr>
      <vt:lpstr>Equations!OLE_LINK1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Naik, Kartiki@Waterboards</dc:creator>
  <cp:lastModifiedBy>Naik, Kartiki@Waterboards</cp:lastModifiedBy>
  <dcterms:created xsi:type="dcterms:W3CDTF">2019-11-13T23:17:12Z</dcterms:created>
  <dcterms:modified xsi:type="dcterms:W3CDTF">2020-12-01T20:14:58Z</dcterms:modified>
</cp:coreProperties>
</file>