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40169\Downloads\"/>
    </mc:Choice>
  </mc:AlternateContent>
  <xr:revisionPtr revIDLastSave="0" documentId="13_ncr:1_{325C90DD-8AA9-43E2-95C8-89AD2080268F}" xr6:coauthVersionLast="47" xr6:coauthVersionMax="47" xr10:uidLastSave="{00000000-0000-0000-0000-000000000000}"/>
  <bookViews>
    <workbookView xWindow="-120" yWindow="-120" windowWidth="29040" windowHeight="15840" xr2:uid="{16FE4B08-2190-4731-8105-A879A47EE34C}"/>
  </bookViews>
  <sheets>
    <sheet name="Tuolumne" sheetId="1" r:id="rId1"/>
    <sheet name="Stanislaus" sheetId="2" r:id="rId2"/>
    <sheet name="Merced" sheetId="3" r:id="rId3"/>
    <sheet name="Doubling Calculations " sheetId="4" r:id="rId4"/>
    <sheet name="SR sex ratio-fecundity" sheetId="5" r:id="rId5"/>
    <sheet name="TR sex ratio-fecundity" sheetId="6" r:id="rId6"/>
    <sheet name="MR sex ratio-fecundity" sheetId="7" r:id="rId7"/>
  </sheets>
  <definedNames>
    <definedName name="_ftn1" localSheetId="3">'Doubling Calculations '!#REF!</definedName>
    <definedName name="_ftn2" localSheetId="3">'Doubling Calculations '!#REF!</definedName>
    <definedName name="_ftn3" localSheetId="3">'Doubling Calculations '!#REF!</definedName>
    <definedName name="_ftnref1" localSheetId="3">'Doubling Calculations '!#REF!</definedName>
    <definedName name="_ftnref2" localSheetId="3">'Doubling Calculations '!#REF!</definedName>
    <definedName name="_ftnref3" localSheetId="3">'Doubling Calculations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6" l="1"/>
  <c r="E14" i="1"/>
  <c r="G7" i="4"/>
  <c r="F7" i="4"/>
  <c r="K14" i="1"/>
  <c r="B22" i="4"/>
  <c r="C7" i="4"/>
  <c r="D7" i="4"/>
  <c r="M8" i="2"/>
  <c r="L9" i="2"/>
  <c r="K4" i="3"/>
  <c r="L6" i="3"/>
  <c r="I18" i="7"/>
  <c r="L14" i="7"/>
  <c r="L13" i="7"/>
  <c r="L12" i="7"/>
  <c r="L11" i="7"/>
  <c r="L10" i="7"/>
  <c r="L9" i="7"/>
  <c r="L8" i="7"/>
  <c r="L7" i="7"/>
  <c r="L18" i="7" s="1"/>
  <c r="L6" i="7"/>
  <c r="L5" i="7"/>
  <c r="L4" i="7"/>
  <c r="L3" i="7"/>
  <c r="F46" i="6"/>
  <c r="C27" i="5"/>
  <c r="B27" i="5"/>
  <c r="C26" i="5"/>
  <c r="B26" i="5"/>
  <c r="C25" i="5"/>
  <c r="B25" i="5"/>
  <c r="C24" i="5"/>
  <c r="B24" i="5"/>
  <c r="K36" i="4"/>
  <c r="K35" i="4"/>
  <c r="K34" i="4"/>
  <c r="K33" i="4"/>
  <c r="K32" i="4"/>
  <c r="K31" i="4"/>
  <c r="K30" i="4"/>
  <c r="Q29" i="4"/>
  <c r="L30" i="4" s="1"/>
  <c r="M30" i="4" s="1"/>
  <c r="M29" i="4"/>
  <c r="K29" i="4"/>
  <c r="K26" i="4"/>
  <c r="K25" i="4"/>
  <c r="K24" i="4"/>
  <c r="K23" i="4"/>
  <c r="K22" i="4"/>
  <c r="K21" i="4"/>
  <c r="K20" i="4"/>
  <c r="Q19" i="4"/>
  <c r="L20" i="4" s="1"/>
  <c r="M20" i="4" s="1"/>
  <c r="M19" i="4"/>
  <c r="K19" i="4"/>
  <c r="K16" i="4"/>
  <c r="K15" i="4"/>
  <c r="B20" i="4"/>
  <c r="K14" i="4"/>
  <c r="D19" i="4"/>
  <c r="C19" i="4"/>
  <c r="B19" i="4"/>
  <c r="K13" i="4"/>
  <c r="K12" i="4"/>
  <c r="K11" i="4"/>
  <c r="K10" i="4"/>
  <c r="K9" i="4"/>
  <c r="F9" i="4"/>
  <c r="G9" i="4" s="1"/>
  <c r="D9" i="4"/>
  <c r="C9" i="4"/>
  <c r="K8" i="4"/>
  <c r="F8" i="4"/>
  <c r="G8" i="4" s="1"/>
  <c r="D8" i="4"/>
  <c r="C8" i="4"/>
  <c r="K7" i="4"/>
  <c r="K6" i="4"/>
  <c r="K5" i="4"/>
  <c r="K4" i="4"/>
  <c r="Q3" i="4"/>
  <c r="L4" i="4" s="1"/>
  <c r="L5" i="4" s="1"/>
  <c r="M3" i="4"/>
  <c r="K3" i="4"/>
  <c r="N14" i="3"/>
  <c r="J14" i="3"/>
  <c r="I14" i="3"/>
  <c r="F14" i="3"/>
  <c r="E14" i="3"/>
  <c r="H13" i="3"/>
  <c r="G13" i="3"/>
  <c r="K13" i="3" s="1"/>
  <c r="O12" i="3" s="1"/>
  <c r="P12" i="3" s="1"/>
  <c r="D13" i="3"/>
  <c r="C13" i="3"/>
  <c r="K12" i="3"/>
  <c r="H12" i="3"/>
  <c r="G12" i="3"/>
  <c r="D12" i="3"/>
  <c r="L12" i="3" s="1"/>
  <c r="C12" i="3"/>
  <c r="O11" i="3"/>
  <c r="P11" i="3" s="1"/>
  <c r="K11" i="3"/>
  <c r="O10" i="3" s="1"/>
  <c r="P10" i="3" s="1"/>
  <c r="H11" i="3"/>
  <c r="G11" i="3"/>
  <c r="D11" i="3"/>
  <c r="L11" i="3" s="1"/>
  <c r="C11" i="3"/>
  <c r="K10" i="3"/>
  <c r="H10" i="3"/>
  <c r="L10" i="3" s="1"/>
  <c r="G10" i="3"/>
  <c r="D10" i="3"/>
  <c r="C10" i="3"/>
  <c r="O9" i="3"/>
  <c r="R10" i="3" s="1"/>
  <c r="K9" i="3"/>
  <c r="O8" i="3" s="1"/>
  <c r="P8" i="3" s="1"/>
  <c r="H9" i="3"/>
  <c r="G9" i="3"/>
  <c r="D9" i="3"/>
  <c r="L9" i="3" s="1"/>
  <c r="C9" i="3"/>
  <c r="L8" i="3"/>
  <c r="H8" i="3"/>
  <c r="G8" i="3"/>
  <c r="D8" i="3"/>
  <c r="C8" i="3"/>
  <c r="K8" i="3" s="1"/>
  <c r="O7" i="3" s="1"/>
  <c r="P7" i="3" s="1"/>
  <c r="H7" i="3"/>
  <c r="G7" i="3"/>
  <c r="D7" i="3"/>
  <c r="L7" i="3" s="1"/>
  <c r="C7" i="3"/>
  <c r="K7" i="3" s="1"/>
  <c r="O6" i="3" s="1"/>
  <c r="P6" i="3" s="1"/>
  <c r="K6" i="3"/>
  <c r="O5" i="3" s="1"/>
  <c r="P5" i="3" s="1"/>
  <c r="H6" i="3"/>
  <c r="G6" i="3"/>
  <c r="D6" i="3"/>
  <c r="R6" i="3" s="1"/>
  <c r="C6" i="3"/>
  <c r="K5" i="3"/>
  <c r="O4" i="3" s="1"/>
  <c r="H5" i="3"/>
  <c r="G5" i="3"/>
  <c r="G14" i="3" s="1"/>
  <c r="D5" i="3"/>
  <c r="D14" i="3" s="1"/>
  <c r="C5" i="3"/>
  <c r="H4" i="3"/>
  <c r="G4" i="3"/>
  <c r="D4" i="3"/>
  <c r="C4" i="3"/>
  <c r="C14" i="3" s="1"/>
  <c r="I14" i="2"/>
  <c r="F14" i="2"/>
  <c r="E14" i="2"/>
  <c r="G13" i="2"/>
  <c r="D13" i="2"/>
  <c r="C13" i="2"/>
  <c r="M12" i="2"/>
  <c r="K12" i="2"/>
  <c r="J12" i="2"/>
  <c r="M13" i="2" s="1"/>
  <c r="G12" i="2"/>
  <c r="D12" i="2"/>
  <c r="C12" i="2"/>
  <c r="M11" i="2"/>
  <c r="K11" i="2"/>
  <c r="J11" i="2"/>
  <c r="G11" i="2"/>
  <c r="D11" i="2"/>
  <c r="C11" i="2"/>
  <c r="M10" i="2"/>
  <c r="K10" i="2"/>
  <c r="J10" i="2"/>
  <c r="G10" i="2"/>
  <c r="D10" i="2"/>
  <c r="C10" i="2"/>
  <c r="K9" i="2"/>
  <c r="J9" i="2"/>
  <c r="D9" i="2"/>
  <c r="M9" i="2" s="1"/>
  <c r="C9" i="2"/>
  <c r="K8" i="2"/>
  <c r="L12" i="2" s="1"/>
  <c r="J8" i="2"/>
  <c r="G8" i="2"/>
  <c r="D8" i="2"/>
  <c r="C8" i="2"/>
  <c r="J7" i="2"/>
  <c r="K7" i="2" s="1"/>
  <c r="L11" i="2" s="1"/>
  <c r="G7" i="2"/>
  <c r="D7" i="2"/>
  <c r="C7" i="2"/>
  <c r="J6" i="2"/>
  <c r="K6" i="2" s="1"/>
  <c r="L10" i="2" s="1"/>
  <c r="D6" i="2"/>
  <c r="M6" i="2" s="1"/>
  <c r="C6" i="2"/>
  <c r="M5" i="2"/>
  <c r="K5" i="2"/>
  <c r="J5" i="2"/>
  <c r="D5" i="2"/>
  <c r="C5" i="2"/>
  <c r="C14" i="2" s="1"/>
  <c r="J4" i="2"/>
  <c r="D4" i="2"/>
  <c r="D14" i="2" s="1"/>
  <c r="C4" i="2"/>
  <c r="J3" i="2"/>
  <c r="J14" i="2" s="1"/>
  <c r="I14" i="1"/>
  <c r="F14" i="1"/>
  <c r="D13" i="1"/>
  <c r="G13" i="1" s="1"/>
  <c r="C13" i="1"/>
  <c r="M12" i="1"/>
  <c r="J12" i="1"/>
  <c r="K12" i="1" s="1"/>
  <c r="D12" i="1"/>
  <c r="G12" i="1" s="1"/>
  <c r="C12" i="1"/>
  <c r="M11" i="1"/>
  <c r="J11" i="1"/>
  <c r="K11" i="1" s="1"/>
  <c r="D11" i="1"/>
  <c r="G11" i="1" s="1"/>
  <c r="C11" i="1"/>
  <c r="M10" i="1"/>
  <c r="J10" i="1"/>
  <c r="K10" i="1" s="1"/>
  <c r="D10" i="1"/>
  <c r="G10" i="1" s="1"/>
  <c r="C10" i="1"/>
  <c r="J9" i="1"/>
  <c r="K9" i="1" s="1"/>
  <c r="G9" i="1"/>
  <c r="D9" i="1"/>
  <c r="C9" i="1"/>
  <c r="J8" i="1"/>
  <c r="M9" i="1" s="1"/>
  <c r="D8" i="1"/>
  <c r="G8" i="1" s="1"/>
  <c r="C8" i="1"/>
  <c r="J7" i="1"/>
  <c r="M8" i="1" s="1"/>
  <c r="D7" i="1"/>
  <c r="G7" i="1" s="1"/>
  <c r="C7" i="1"/>
  <c r="K6" i="1"/>
  <c r="J6" i="1"/>
  <c r="D6" i="1"/>
  <c r="M6" i="1" s="1"/>
  <c r="C6" i="1"/>
  <c r="J5" i="1"/>
  <c r="K5" i="1" s="1"/>
  <c r="D5" i="1"/>
  <c r="M5" i="1" s="1"/>
  <c r="C5" i="1"/>
  <c r="J4" i="1"/>
  <c r="J14" i="1" s="1"/>
  <c r="D4" i="1"/>
  <c r="D14" i="1" s="1"/>
  <c r="C4" i="1"/>
  <c r="C14" i="1" s="1"/>
  <c r="J3" i="1"/>
  <c r="M4" i="4" l="1"/>
  <c r="H13" i="1"/>
  <c r="H11" i="1"/>
  <c r="P14" i="3"/>
  <c r="R8" i="3"/>
  <c r="R13" i="3"/>
  <c r="M11" i="3"/>
  <c r="H12" i="1"/>
  <c r="M12" i="3"/>
  <c r="R7" i="3"/>
  <c r="Q11" i="3"/>
  <c r="L6" i="4"/>
  <c r="M6" i="4" s="1"/>
  <c r="M5" i="4"/>
  <c r="M4" i="1"/>
  <c r="G6" i="1"/>
  <c r="K7" i="1"/>
  <c r="P9" i="3"/>
  <c r="Q10" i="3" s="1"/>
  <c r="R11" i="3"/>
  <c r="L21" i="4"/>
  <c r="L31" i="4"/>
  <c r="M7" i="1"/>
  <c r="M4" i="2"/>
  <c r="G6" i="2"/>
  <c r="L13" i="3"/>
  <c r="M13" i="3" s="1"/>
  <c r="H14" i="3"/>
  <c r="R9" i="3"/>
  <c r="M7" i="2"/>
  <c r="M13" i="1"/>
  <c r="G9" i="2"/>
  <c r="H13" i="2" s="1"/>
  <c r="R12" i="3"/>
  <c r="K14" i="2"/>
  <c r="R5" i="3"/>
  <c r="K8" i="1"/>
  <c r="L12" i="1" s="1"/>
  <c r="L32" i="4" l="1"/>
  <c r="M31" i="4"/>
  <c r="L22" i="4"/>
  <c r="M21" i="4"/>
  <c r="L7" i="4"/>
  <c r="L10" i="1"/>
  <c r="Q9" i="3"/>
  <c r="H12" i="2"/>
  <c r="L9" i="1"/>
  <c r="H11" i="2"/>
  <c r="L14" i="3"/>
  <c r="M10" i="3"/>
  <c r="H10" i="2"/>
  <c r="G14" i="2"/>
  <c r="L11" i="1"/>
  <c r="O3" i="3"/>
  <c r="K14" i="3"/>
  <c r="M14" i="2"/>
  <c r="H10" i="1"/>
  <c r="G14" i="1"/>
  <c r="Q12" i="3"/>
  <c r="M14" i="1"/>
  <c r="M7" i="4" l="1"/>
  <c r="L8" i="4"/>
  <c r="L23" i="4"/>
  <c r="M22" i="4"/>
  <c r="O14" i="3"/>
  <c r="R4" i="3"/>
  <c r="R14" i="3" s="1"/>
  <c r="L33" i="4"/>
  <c r="M32" i="4"/>
  <c r="L24" i="4" l="1"/>
  <c r="M23" i="4"/>
  <c r="M8" i="4"/>
  <c r="L9" i="4"/>
  <c r="L10" i="4" s="1"/>
  <c r="M33" i="4"/>
  <c r="L34" i="4"/>
  <c r="C20" i="4"/>
  <c r="C22" i="4" s="1"/>
  <c r="L35" i="4" l="1"/>
  <c r="M34" i="4"/>
  <c r="M9" i="4"/>
  <c r="L25" i="4"/>
  <c r="M24" i="4"/>
  <c r="M25" i="4" l="1"/>
  <c r="L26" i="4"/>
  <c r="M26" i="4" s="1"/>
  <c r="M10" i="4"/>
  <c r="L11" i="4"/>
  <c r="M35" i="4"/>
  <c r="L36" i="4"/>
  <c r="M36" i="4" s="1"/>
  <c r="L12" i="4" l="1"/>
  <c r="M11" i="4"/>
  <c r="D20" i="4"/>
  <c r="D22" i="4" s="1"/>
  <c r="L13" i="4" l="1"/>
  <c r="M12" i="4"/>
  <c r="M13" i="4" l="1"/>
  <c r="L14" i="4"/>
  <c r="M14" i="4" l="1"/>
  <c r="L15" i="4"/>
  <c r="M15" i="4" l="1"/>
  <c r="L16" i="4"/>
  <c r="M1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Louie, Stephen@Waterboards</author>
  </authors>
  <commentList>
    <comment ref="F3" authorId="0" shapeId="0" xr:uid="{6B547624-02B8-4879-AAB7-DFD0315F9A3A}">
      <text>
        <r>
          <rPr>
            <sz val="9"/>
            <color indexed="81"/>
            <rFont val="Tahoma"/>
            <family val="2"/>
          </rPr>
          <t xml:space="preserve">2009 escapement value from ChinookProd because CFM estimates started in 2010.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Louie, Stephen@Waterboards</author>
  </authors>
  <commentList>
    <comment ref="F3" authorId="0" shapeId="0" xr:uid="{1A0725C3-21B1-401D-B767-9C9CE6F5D711}">
      <text>
        <r>
          <rPr>
            <sz val="9"/>
            <color indexed="81"/>
            <rFont val="Tahoma"/>
            <family val="2"/>
          </rPr>
          <t>2009 escapement value from ChinookProd because CFM estimates started in 2010.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Louie, Stephen@Waterboards</author>
  </authors>
  <commentList>
    <comment ref="F3" authorId="0" shapeId="0" xr:uid="{7E37297B-9775-4CF2-8C0B-B9BEDFEB5490}">
      <text>
        <r>
          <rPr>
            <sz val="9"/>
            <color indexed="81"/>
            <rFont val="Tahoma"/>
            <family val="2"/>
          </rPr>
          <t>2009 escapement value from ChinookProd because CFM estimates started in 2010.</t>
        </r>
      </text>
    </comment>
  </commentList>
</comments>
</file>

<file path=xl/sharedStrings.xml><?xml version="1.0" encoding="utf-8"?>
<sst xmlns="http://schemas.openxmlformats.org/spreadsheetml/2006/main" count="177" uniqueCount="87">
  <si>
    <t>Tuolumne River Constant Fractional Marking Program estimates for instream proportion of hatchery origin spawners (pHOS) and total escapement and USFWS ChinookProd estimates for ocean production. Instream hatchery origin spawner escapement (HOS), instream natural origin spawner escapement (NOS), cohort replacement rates (CRR), natural ocean production, 5-year geometric means, and 2-year old to escapement survival metrics are calculated within the table.</t>
  </si>
  <si>
    <t>River</t>
  </si>
  <si>
    <t>Year</t>
  </si>
  <si>
    <t>HOS Escapement (Instream)
(CFM)</t>
  </si>
  <si>
    <t>NOS Escapement (Instream)
(CFM)</t>
  </si>
  <si>
    <t>pHOS (Instream)
(CFM)</t>
  </si>
  <si>
    <t>Total Escapement (Instream)
(CFM)</t>
  </si>
  <si>
    <t>Post-Fishing CRR</t>
  </si>
  <si>
    <t>5-year Geometric Mean Post-Fishing CRR</t>
  </si>
  <si>
    <t>Ocean Production (ChinookProd)</t>
  </si>
  <si>
    <t>Natural Ocean Production</t>
  </si>
  <si>
    <t>Pre-Fishing CRR</t>
  </si>
  <si>
    <t>5-year Geometric Mean Pre-Fishing CRR</t>
  </si>
  <si>
    <t>2-Year Old to Escapement Survival</t>
  </si>
  <si>
    <t>Tuolumne</t>
  </si>
  <si>
    <t>Geometric Means</t>
  </si>
  <si>
    <t>Stanislaus River Constant Fractional Marking Program estimates for instream proportion of hatchery origin spawners (pHOS) and total escapement and USFWS ChinookProd estimates for ocean production. Instream hatchery origin spawner escapement (HOS), instream natural origin spawner escapement (NOS), cohort replacement rates (CRR), natural ocean production, 5-year geometric means, and 2-year old to escapement survival metrics are calculated within the table.</t>
  </si>
  <si>
    <t>Stanislaus</t>
  </si>
  <si>
    <t>Merced River Constant Fractional Marking Program estimates for instream proportion of hatchery origin spawners (pHOS) and total escapement and Merced River Hatchery entry proportion of hatchery origin spawners (pHOS) and total escapement and USFWS ChinookProd estimates for ocean production. Instream hatchery origin spawner escapement (HOS), instream natural origin spawner escapement (NOS), hatchery entry hatchery origin spawner escapement (HOS), hatchery entry natural origin spawner escapement (NOS), total river pHOS, cohort replacement rates (CRR), natural ocean production, 5-year geometric means, and 2-year old to escapement survival metrics are calculated within the table.</t>
  </si>
  <si>
    <t>HOS Escapement (Hatchery)
(CFM)</t>
  </si>
  <si>
    <t>NOS Escapement (Hatchery)
(CFM)</t>
  </si>
  <si>
    <t>pHOS (Hatchery)
(CFM)</t>
  </si>
  <si>
    <t>Total Escapement (Hatchery)
(CFM)</t>
  </si>
  <si>
    <t>pHOS (Total River)</t>
  </si>
  <si>
    <t>Merced</t>
  </si>
  <si>
    <t>Abundance Goal Escapement Calculator*
(Input Desired Freshwater Juvenile Survival)</t>
  </si>
  <si>
    <t>Predicted generational Escapement and Proportion of Hatchery Origin Spawners for population growth rates associated with the Desired Freshwater Juvenile Survival. Year Zero escapement and Hatchery Origin Spawner abundance are the geometric means from the CFM (2010-2019). All ether escapement values are calculated. Calculations derived from the SEP Appendix A Stanislaus Survival Model (Cain et al. 2019). Assumes equivalent growth of the additional yearly cohorts, 100% eggs in redds, and carrying capacity is available to support required escapement goals.</t>
  </si>
  <si>
    <t>Desired Percent Freshwater Juvenile Survival</t>
  </si>
  <si>
    <t>Juvenile Production Goal at Desired Freshwater Juvenile Survival and Egg to Tributary Confluence Survival of 10%</t>
  </si>
  <si>
    <t>Generation</t>
  </si>
  <si>
    <t>Years From Implementation</t>
  </si>
  <si>
    <t>Total Escapement</t>
  </si>
  <si>
    <t>pHOS</t>
  </si>
  <si>
    <t>Geometric Mean Escapement  Hatchery Origin Spawners (CFM 2010-2019)</t>
  </si>
  <si>
    <t>Fecundity      (eggs per female from TR FERC)</t>
  </si>
  <si>
    <t>Proportion Females (TR Ferc)</t>
  </si>
  <si>
    <t>Desired Juvenile Freshwater Survival Goal</t>
  </si>
  <si>
    <t>Chipps Island to Adult (2-year Old) Survival (Stanislaus  SEP (2019))</t>
  </si>
  <si>
    <t>2-Year Old to Escapement Survival
(CFM 2010-2019)</t>
  </si>
  <si>
    <t>Salmon Protection Objective - Doubling Requirement</t>
  </si>
  <si>
    <t>Escapement Needed to Atttain Dubling Requirement**</t>
  </si>
  <si>
    <t>CRR</t>
  </si>
  <si>
    <t>Juvenile Production Goal at Chipps</t>
  </si>
  <si>
    <t>Juvenile Production Goal at Confluence with LSJR</t>
  </si>
  <si>
    <t>*Calculations derived from the SEP Appendix A Stanislaus Survival Model (Cain et al. 2019).</t>
  </si>
  <si>
    <t>**Escapement = Doubling Requirement / Chipps Island Juvenile to 2-year old Adult Survival / Fecundity / Proportion of Female Spawners / Desired Percent FW Juvenile Survival</t>
  </si>
  <si>
    <t>LSJR Basin Combined Proportion of Hatchery Origin Spanwers Estimator</t>
  </si>
  <si>
    <t>Abundance</t>
  </si>
  <si>
    <t>Current</t>
  </si>
  <si>
    <t>12 Years</t>
  </si>
  <si>
    <t>21 Years</t>
  </si>
  <si>
    <t>Fecundity      (eggs per female from Stanislaus  SEP (2019))</t>
  </si>
  <si>
    <t>Proportion Females</t>
  </si>
  <si>
    <t>Chipps Island to Adult (2-year Old) Survival (Stanislaus  SEP (2019</t>
  </si>
  <si>
    <t>HOS</t>
  </si>
  <si>
    <t>NOS</t>
  </si>
  <si>
    <t>Fecundity      (eggs per female CDFW Data )</t>
  </si>
  <si>
    <t>Proportion Females (CDFW Data)</t>
  </si>
  <si>
    <t>Merced River</t>
  </si>
  <si>
    <t>Stanislaus River Escapement data from Domenic Guidice (CDFW) via Stephen Louie (CDFW) (Cain et al. 2019)</t>
  </si>
  <si>
    <t>% females</t>
  </si>
  <si>
    <t>Eggs per female</t>
  </si>
  <si>
    <t>“An estimate for the number of eggs produced by the 2005 fall run was generated using a standard regression equation 
(158.45 * fork length cm – 6138.91 =  number of eggs). 
This fork length-fecundity relationship was determined for 48 San Joaquin 
fall-run chinook salmon females ranging from 62.5 to 94.0 cm fork length (Loudermilk et al. 1990).”</t>
  </si>
  <si>
    <t>na</t>
  </si>
  <si>
    <t>Max</t>
  </si>
  <si>
    <t>Average</t>
  </si>
  <si>
    <t>Median</t>
  </si>
  <si>
    <t>Min</t>
  </si>
  <si>
    <t>2021 LOWER TUOLUMNE RIVER ANNUAL REPORT
Report 2021-2
Spawning Survey Summary Update</t>
  </si>
  <si>
    <t>Estimated Run</t>
  </si>
  <si>
    <t># of Females</t>
  </si>
  <si>
    <t>Ave. FL females (cm)</t>
  </si>
  <si>
    <t>(y) Eggs per female</t>
  </si>
  <si>
    <t>Potential egg deposition (millions)</t>
  </si>
  <si>
    <t>Median Proportion of Females</t>
  </si>
  <si>
    <t>Median Fecundity (eggs per female)</t>
  </si>
  <si>
    <t>California Department of Fish and Wildlife Merced River Instream Survey Data from Gretchen Murphy to Stephen Louie on 1/13/2023.</t>
  </si>
  <si>
    <t>%F</t>
  </si>
  <si>
    <t>%M</t>
  </si>
  <si>
    <t>%Unk</t>
  </si>
  <si>
    <t>Ave F FL</t>
  </si>
  <si>
    <t>Ave M FL</t>
  </si>
  <si>
    <t>Estimate</t>
  </si>
  <si>
    <t>Fest</t>
  </si>
  <si>
    <t>FAveEgg</t>
  </si>
  <si>
    <t>Egg Est</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</si>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</sst>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9"/>
      <color indexed="81"/>
      <name val="Tahoma"/>
      <family val="2"/>
    </font>
    <font>
      <sz val="11"/>
      <color rgb="FF000000"/>
      <name val="Calibri Light"/>
      <family val="2"/>
      <scheme val="major"/>
    </font>
    <font>
      <sz val="11"/>
      <color theme="1"/>
      <name val="Calibri Light"/>
      <family val="2"/>
      <scheme val="major"/>
    </font>
    <font>
      <sz val="11"/>
      <color indexed="8"/>
      <name val="Calibri"/>
      <family val="2"/>
      <scheme val="minor"/>
    </font>
    <font>
      <sz val="11"/>
      <color indexed="8"/>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thin">
        <color auto="1"/>
      </right>
      <top style="medium">
        <color indexed="64"/>
      </top>
      <bottom style="medium">
        <color indexed="64"/>
      </bottom>
      <diagonal/>
    </border>
    <border>
      <left/>
      <right/>
      <top style="thin">
        <color auto="1"/>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0" fillId="0" borderId="0" xfId="0" applyProtection="1">
      <protection locked="0"/>
    </xf>
    <xf numFmtId="0" fontId="0" fillId="0" borderId="0" xfId="0" applyAlignment="1" applyProtection="1">
      <alignment wrapText="1"/>
      <protection locked="0"/>
    </xf>
    <xf numFmtId="165" fontId="0" fillId="3" borderId="18" xfId="2" applyNumberFormat="1" applyFont="1" applyFill="1" applyBorder="1" applyAlignment="1" applyProtection="1">
      <alignment horizontal="center" vertical="center"/>
      <protection locked="0"/>
    </xf>
    <xf numFmtId="0" fontId="6" fillId="0" borderId="0" xfId="0" applyFont="1" applyAlignment="1" applyProtection="1">
      <alignment horizontal="center" wrapText="1"/>
      <protection locked="0"/>
    </xf>
    <xf numFmtId="0" fontId="0" fillId="0" borderId="21" xfId="0" applyBorder="1" applyAlignment="1">
      <alignment horizontal="center"/>
    </xf>
    <xf numFmtId="9" fontId="6" fillId="0" borderId="26" xfId="2" applyFont="1" applyFill="1" applyBorder="1" applyAlignment="1" applyProtection="1">
      <alignment horizontal="center"/>
    </xf>
    <xf numFmtId="9" fontId="6" fillId="0" borderId="30" xfId="2" applyFont="1" applyFill="1" applyBorder="1" applyAlignment="1" applyProtection="1">
      <alignment horizontal="center"/>
    </xf>
    <xf numFmtId="0" fontId="0" fillId="0" borderId="13" xfId="0" applyBorder="1" applyAlignment="1">
      <alignment horizontal="center"/>
    </xf>
    <xf numFmtId="0" fontId="5" fillId="0" borderId="14" xfId="0" applyFont="1" applyBorder="1" applyAlignment="1">
      <alignment horizontal="center"/>
    </xf>
    <xf numFmtId="10" fontId="6" fillId="0" borderId="14" xfId="0" applyNumberFormat="1" applyFont="1" applyBorder="1" applyAlignment="1">
      <alignment horizontal="center"/>
    </xf>
    <xf numFmtId="0" fontId="0" fillId="0" borderId="17" xfId="0" applyBorder="1" applyAlignment="1">
      <alignment horizontal="center"/>
    </xf>
    <xf numFmtId="0" fontId="5" fillId="0" borderId="0" xfId="0" applyFont="1" applyAlignment="1">
      <alignment horizontal="center"/>
    </xf>
    <xf numFmtId="10" fontId="6" fillId="0" borderId="0" xfId="0" applyNumberFormat="1" applyFont="1" applyAlignment="1">
      <alignment horizontal="center"/>
    </xf>
    <xf numFmtId="164" fontId="0" fillId="0" borderId="0" xfId="0" applyNumberFormat="1" applyAlignment="1">
      <alignment horizontal="center"/>
    </xf>
    <xf numFmtId="3" fontId="0" fillId="0" borderId="31" xfId="1" applyNumberFormat="1" applyFont="1" applyBorder="1" applyAlignment="1" applyProtection="1">
      <alignment horizontal="center"/>
    </xf>
    <xf numFmtId="3" fontId="0" fillId="0" borderId="4" xfId="1" applyNumberFormat="1" applyFont="1" applyBorder="1" applyAlignment="1" applyProtection="1">
      <alignment horizontal="center"/>
    </xf>
    <xf numFmtId="164" fontId="0" fillId="0" borderId="33" xfId="0" applyNumberFormat="1" applyBorder="1" applyAlignment="1">
      <alignment horizontal="center"/>
    </xf>
    <xf numFmtId="3" fontId="0" fillId="0" borderId="10" xfId="1" applyNumberFormat="1" applyFont="1" applyBorder="1" applyAlignment="1" applyProtection="1">
      <alignment horizontal="center"/>
    </xf>
    <xf numFmtId="1" fontId="0" fillId="0" borderId="0" xfId="0" applyNumberFormat="1" applyAlignment="1" applyProtection="1">
      <alignment horizontal="center"/>
      <protection locked="0"/>
    </xf>
    <xf numFmtId="43" fontId="0" fillId="0" borderId="0" xfId="0" applyNumberFormat="1" applyProtection="1">
      <protection locked="0"/>
    </xf>
    <xf numFmtId="0" fontId="0" fillId="0" borderId="0" xfId="0" applyAlignment="1">
      <alignment horizontal="center"/>
    </xf>
    <xf numFmtId="9" fontId="6" fillId="0" borderId="35" xfId="2" applyFont="1" applyFill="1" applyBorder="1" applyAlignment="1" applyProtection="1">
      <alignment horizontal="center"/>
    </xf>
    <xf numFmtId="9" fontId="6" fillId="0" borderId="39" xfId="2" applyFont="1" applyFill="1" applyBorder="1" applyAlignment="1" applyProtection="1">
      <alignment horizontal="center"/>
    </xf>
    <xf numFmtId="1" fontId="0" fillId="0" borderId="13" xfId="0" applyNumberFormat="1" applyBorder="1" applyAlignment="1">
      <alignment horizontal="center"/>
    </xf>
    <xf numFmtId="2" fontId="0" fillId="0" borderId="0" xfId="0" applyNumberFormat="1" applyProtection="1">
      <protection locked="0"/>
    </xf>
    <xf numFmtId="0" fontId="5" fillId="0" borderId="0" xfId="0" applyFont="1" applyAlignment="1" applyProtection="1">
      <alignment vertical="center"/>
      <protection locked="0"/>
    </xf>
    <xf numFmtId="1" fontId="6" fillId="0" borderId="0" xfId="0" applyNumberFormat="1" applyFont="1" applyProtection="1">
      <protection locked="0"/>
    </xf>
    <xf numFmtId="9" fontId="6" fillId="0" borderId="0" xfId="2" applyFont="1" applyFill="1" applyProtection="1">
      <protection locked="0"/>
    </xf>
    <xf numFmtId="0" fontId="5" fillId="0" borderId="0" xfId="0" applyFont="1" applyAlignment="1" applyProtection="1">
      <alignment horizontal="right" vertical="center"/>
      <protection locked="0"/>
    </xf>
    <xf numFmtId="10" fontId="6" fillId="0" borderId="0" xfId="0" applyNumberFormat="1" applyFont="1" applyProtection="1">
      <protection locked="0"/>
    </xf>
    <xf numFmtId="9" fontId="6" fillId="0" borderId="24" xfId="2" applyFont="1" applyFill="1" applyBorder="1" applyAlignment="1" applyProtection="1">
      <alignment horizontal="center"/>
    </xf>
    <xf numFmtId="3" fontId="0" fillId="0" borderId="0" xfId="0" applyNumberFormat="1" applyAlignment="1" applyProtection="1">
      <alignment vertical="top"/>
      <protection locked="0"/>
    </xf>
    <xf numFmtId="0" fontId="0" fillId="0" borderId="0" xfId="0" applyAlignment="1" applyProtection="1">
      <alignment horizontal="left" wrapText="1"/>
      <protection locked="0"/>
    </xf>
    <xf numFmtId="1" fontId="0" fillId="0" borderId="0" xfId="0" applyNumberFormat="1" applyAlignment="1" applyProtection="1">
      <alignment horizontal="center" vertical="center"/>
      <protection locked="0"/>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1" fontId="0" fillId="0" borderId="5" xfId="0" applyNumberFormat="1" applyBorder="1" applyAlignment="1">
      <alignment horizontal="center"/>
    </xf>
    <xf numFmtId="2" fontId="0" fillId="0" borderId="6" xfId="0" applyNumberFormat="1" applyBorder="1" applyAlignment="1">
      <alignment horizontal="center"/>
    </xf>
    <xf numFmtId="2" fontId="0" fillId="0" borderId="5" xfId="0" applyNumberFormat="1" applyBorder="1" applyAlignment="1">
      <alignment horizontal="center"/>
    </xf>
    <xf numFmtId="164" fontId="0" fillId="0" borderId="5" xfId="0" applyNumberFormat="1" applyBorder="1" applyAlignment="1">
      <alignment horizontal="center"/>
    </xf>
    <xf numFmtId="1" fontId="0" fillId="0" borderId="8" xfId="0" applyNumberFormat="1" applyBorder="1" applyAlignment="1">
      <alignment horizontal="center"/>
    </xf>
    <xf numFmtId="2" fontId="0" fillId="0" borderId="8" xfId="0" applyNumberFormat="1" applyBorder="1" applyAlignment="1">
      <alignment horizontal="center"/>
    </xf>
    <xf numFmtId="164" fontId="0" fillId="0" borderId="8" xfId="0" applyNumberFormat="1" applyBorder="1" applyAlignment="1">
      <alignment horizontal="center"/>
    </xf>
    <xf numFmtId="2" fontId="0" fillId="0" borderId="9" xfId="0" applyNumberForma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 fontId="0" fillId="0" borderId="11" xfId="0" applyNumberFormat="1" applyBorder="1" applyAlignment="1">
      <alignment horizontal="center"/>
    </xf>
    <xf numFmtId="2" fontId="0" fillId="0" borderId="11" xfId="0" applyNumberFormat="1" applyBorder="1" applyAlignment="1">
      <alignment horizontal="center"/>
    </xf>
    <xf numFmtId="164" fontId="0" fillId="0" borderId="11" xfId="0" applyNumberFormat="1" applyBorder="1" applyAlignment="1">
      <alignment horizontal="center"/>
    </xf>
    <xf numFmtId="2" fontId="0" fillId="0" borderId="12" xfId="0" applyNumberFormat="1" applyBorder="1" applyAlignment="1">
      <alignment horizontal="center"/>
    </xf>
    <xf numFmtId="0" fontId="0" fillId="0" borderId="6" xfId="0" applyBorder="1" applyAlignment="1">
      <alignment horizontal="center"/>
    </xf>
    <xf numFmtId="0" fontId="0" fillId="0" borderId="17" xfId="0" applyBorder="1"/>
    <xf numFmtId="0" fontId="0" fillId="0" borderId="13" xfId="0" applyBorder="1" applyAlignment="1">
      <alignment horizontal="center" vertical="center" wrapText="1"/>
    </xf>
    <xf numFmtId="0" fontId="0" fillId="0" borderId="19" xfId="0" applyBorder="1"/>
    <xf numFmtId="0" fontId="0" fillId="0" borderId="31" xfId="0" applyBorder="1" applyAlignment="1">
      <alignment horizontal="center"/>
    </xf>
    <xf numFmtId="3" fontId="0" fillId="0" borderId="23" xfId="0" applyNumberFormat="1" applyBorder="1" applyAlignment="1">
      <alignment horizontal="center"/>
    </xf>
    <xf numFmtId="164" fontId="0" fillId="0" borderId="32" xfId="0" applyNumberFormat="1" applyBorder="1" applyAlignment="1">
      <alignment horizontal="center"/>
    </xf>
    <xf numFmtId="3" fontId="0" fillId="0" borderId="5" xfId="0" applyNumberFormat="1" applyBorder="1" applyAlignment="1">
      <alignment horizontal="center"/>
    </xf>
    <xf numFmtId="164" fontId="0" fillId="0" borderId="6" xfId="0" applyNumberFormat="1" applyBorder="1" applyAlignment="1">
      <alignment horizontal="center"/>
    </xf>
    <xf numFmtId="3" fontId="0" fillId="0" borderId="11" xfId="0" applyNumberFormat="1" applyBorder="1" applyAlignment="1">
      <alignment horizontal="center"/>
    </xf>
    <xf numFmtId="164" fontId="0" fillId="0" borderId="12" xfId="0" applyNumberFormat="1" applyBorder="1" applyAlignment="1">
      <alignment horizontal="center"/>
    </xf>
    <xf numFmtId="43" fontId="0" fillId="0" borderId="0" xfId="1" applyFont="1" applyProtection="1"/>
    <xf numFmtId="1" fontId="0" fillId="0" borderId="0" xfId="0" applyNumberFormat="1" applyAlignment="1">
      <alignment horizontal="center"/>
    </xf>
    <xf numFmtId="3" fontId="0" fillId="0" borderId="32" xfId="0" applyNumberFormat="1" applyBorder="1" applyAlignment="1">
      <alignment horizontal="center"/>
    </xf>
    <xf numFmtId="3" fontId="0" fillId="0" borderId="6" xfId="0" applyNumberFormat="1" applyBorder="1" applyAlignment="1">
      <alignment horizontal="center"/>
    </xf>
    <xf numFmtId="3" fontId="0" fillId="0" borderId="12" xfId="0" applyNumberFormat="1" applyBorder="1" applyAlignment="1">
      <alignment horizontal="center"/>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6" fillId="2" borderId="8" xfId="0" applyFont="1" applyFill="1" applyBorder="1" applyAlignment="1">
      <alignment horizontal="center" wrapText="1"/>
    </xf>
    <xf numFmtId="0" fontId="5" fillId="2" borderId="20" xfId="0" applyFont="1" applyFill="1" applyBorder="1" applyAlignment="1">
      <alignment horizontal="center" wrapText="1"/>
    </xf>
    <xf numFmtId="0" fontId="6" fillId="2" borderId="9" xfId="0" applyFont="1" applyFill="1" applyBorder="1" applyAlignment="1">
      <alignment horizontal="center" wrapText="1"/>
    </xf>
    <xf numFmtId="0" fontId="5" fillId="0" borderId="23" xfId="0" applyFont="1" applyBorder="1" applyAlignment="1">
      <alignment horizontal="center"/>
    </xf>
    <xf numFmtId="0" fontId="5" fillId="0" borderId="24" xfId="0" applyFont="1" applyBorder="1" applyAlignment="1">
      <alignment horizontal="center"/>
    </xf>
    <xf numFmtId="1" fontId="6" fillId="0" borderId="25" xfId="0" applyNumberFormat="1" applyFont="1" applyBorder="1" applyAlignment="1">
      <alignment horizontal="center"/>
    </xf>
    <xf numFmtId="0" fontId="5" fillId="0" borderId="5" xfId="0" applyFont="1" applyBorder="1" applyAlignment="1">
      <alignment horizontal="center"/>
    </xf>
    <xf numFmtId="1" fontId="6" fillId="0" borderId="23" xfId="0" applyNumberFormat="1" applyFont="1" applyBorder="1" applyAlignment="1">
      <alignment horizontal="center"/>
    </xf>
    <xf numFmtId="1" fontId="6" fillId="0" borderId="5" xfId="0" applyNumberFormat="1" applyFont="1" applyBorder="1" applyAlignment="1">
      <alignment horizontal="center"/>
    </xf>
    <xf numFmtId="0" fontId="5" fillId="0" borderId="11" xfId="0" applyFont="1" applyBorder="1" applyAlignment="1">
      <alignment horizontal="center"/>
    </xf>
    <xf numFmtId="1" fontId="6" fillId="0" borderId="11" xfId="0" applyNumberFormat="1" applyFont="1" applyBorder="1" applyAlignment="1">
      <alignment horizontal="center"/>
    </xf>
    <xf numFmtId="1" fontId="5" fillId="0" borderId="27" xfId="0" applyNumberFormat="1" applyFont="1" applyBorder="1" applyAlignment="1">
      <alignment horizontal="center"/>
    </xf>
    <xf numFmtId="0" fontId="5" fillId="0" borderId="28" xfId="0" applyFont="1" applyBorder="1" applyAlignment="1">
      <alignment horizontal="center"/>
    </xf>
    <xf numFmtId="10" fontId="6" fillId="0" borderId="28" xfId="0" applyNumberFormat="1" applyFont="1" applyBorder="1" applyAlignment="1">
      <alignment horizontal="center"/>
    </xf>
    <xf numFmtId="9" fontId="6" fillId="0" borderId="29" xfId="0" applyNumberFormat="1" applyFont="1" applyBorder="1" applyAlignment="1">
      <alignment horizontal="center"/>
    </xf>
    <xf numFmtId="0" fontId="5" fillId="2" borderId="36" xfId="0" applyFont="1" applyFill="1" applyBorder="1" applyAlignment="1">
      <alignment horizontal="center" wrapText="1"/>
    </xf>
    <xf numFmtId="0" fontId="5" fillId="0" borderId="2" xfId="0" applyFont="1" applyBorder="1" applyAlignment="1">
      <alignment horizontal="center"/>
    </xf>
    <xf numFmtId="0" fontId="5" fillId="0" borderId="38" xfId="0" applyFont="1" applyBorder="1" applyAlignment="1">
      <alignment horizontal="center"/>
    </xf>
    <xf numFmtId="0" fontId="0" fillId="0" borderId="23" xfId="0"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43" fontId="0" fillId="2" borderId="8" xfId="1" applyFont="1" applyFill="1" applyBorder="1" applyAlignment="1" applyProtection="1">
      <alignment horizontal="center"/>
    </xf>
    <xf numFmtId="1" fontId="0" fillId="2" borderId="9" xfId="0" applyNumberFormat="1" applyFill="1" applyBorder="1" applyAlignment="1">
      <alignment horizontal="center"/>
    </xf>
    <xf numFmtId="3" fontId="0" fillId="0" borderId="23" xfId="1" applyNumberFormat="1" applyFont="1" applyBorder="1" applyAlignment="1" applyProtection="1">
      <alignment horizontal="center"/>
    </xf>
    <xf numFmtId="0" fontId="0" fillId="0" borderId="36" xfId="0" applyBorder="1" applyAlignment="1">
      <alignment horizontal="center"/>
    </xf>
    <xf numFmtId="3" fontId="0" fillId="0" borderId="47" xfId="0" applyNumberFormat="1" applyBorder="1" applyAlignment="1">
      <alignment horizontal="center"/>
    </xf>
    <xf numFmtId="3" fontId="0" fillId="0" borderId="48" xfId="0" applyNumberFormat="1" applyBorder="1" applyAlignment="1">
      <alignment horizontal="center"/>
    </xf>
    <xf numFmtId="0" fontId="0" fillId="0" borderId="34" xfId="0" applyBorder="1" applyAlignment="1">
      <alignment horizontal="center"/>
    </xf>
    <xf numFmtId="9" fontId="0" fillId="0" borderId="45" xfId="2" applyFont="1" applyBorder="1" applyAlignment="1" applyProtection="1">
      <alignment horizontal="center"/>
    </xf>
    <xf numFmtId="9" fontId="0" fillId="0" borderId="46" xfId="2" applyFont="1" applyBorder="1" applyAlignment="1" applyProtection="1">
      <alignment horizontal="center"/>
    </xf>
    <xf numFmtId="0" fontId="2" fillId="0" borderId="0" xfId="0" applyFont="1"/>
    <xf numFmtId="9" fontId="7" fillId="0" borderId="0" xfId="0" applyNumberFormat="1" applyFont="1" applyAlignment="1">
      <alignment horizontal="center"/>
    </xf>
    <xf numFmtId="3" fontId="7" fillId="0" borderId="0" xfId="0" applyNumberFormat="1" applyFont="1" applyAlignment="1">
      <alignment horizontal="center"/>
    </xf>
    <xf numFmtId="0" fontId="0" fillId="0" borderId="5" xfId="0" applyBorder="1" applyAlignment="1">
      <alignment horizontal="center" vertical="center"/>
    </xf>
    <xf numFmtId="0" fontId="0" fillId="0" borderId="5" xfId="0" applyBorder="1" applyAlignment="1">
      <alignment horizontal="center" vertical="center" wrapText="1"/>
    </xf>
    <xf numFmtId="9" fontId="0" fillId="0" borderId="5" xfId="0" applyNumberFormat="1" applyBorder="1" applyAlignment="1">
      <alignment horizontal="center"/>
    </xf>
    <xf numFmtId="37" fontId="0" fillId="0" borderId="5" xfId="1" applyNumberFormat="1" applyFont="1" applyBorder="1" applyAlignment="1" applyProtection="1">
      <alignment horizontal="center"/>
    </xf>
    <xf numFmtId="9" fontId="0" fillId="0" borderId="5" xfId="2" applyFont="1" applyBorder="1" applyAlignment="1" applyProtection="1">
      <alignment horizontal="center"/>
    </xf>
    <xf numFmtId="0" fontId="0" fillId="0" borderId="30"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3" fontId="8" fillId="0" borderId="5" xfId="0" applyNumberFormat="1" applyFont="1" applyBorder="1" applyAlignment="1">
      <alignment horizontal="center"/>
    </xf>
    <xf numFmtId="0" fontId="0" fillId="0" borderId="0" xfId="0" applyAlignment="1" applyProtection="1">
      <alignment horizontal="center"/>
      <protection locked="0"/>
    </xf>
    <xf numFmtId="0" fontId="0" fillId="0" borderId="0" xfId="0" applyAlignment="1">
      <alignment wrapText="1"/>
    </xf>
    <xf numFmtId="3" fontId="0" fillId="0" borderId="0" xfId="0" applyNumberFormat="1"/>
    <xf numFmtId="0" fontId="0" fillId="0" borderId="42" xfId="0" applyBorder="1" applyAlignment="1">
      <alignment horizontal="center" wrapText="1"/>
    </xf>
    <xf numFmtId="0" fontId="0" fillId="0" borderId="43" xfId="0" applyBorder="1" applyAlignment="1">
      <alignment horizontal="center"/>
    </xf>
    <xf numFmtId="1" fontId="0" fillId="0" borderId="43" xfId="0" applyNumberFormat="1" applyBorder="1" applyAlignment="1">
      <alignment horizontal="center"/>
    </xf>
    <xf numFmtId="1" fontId="0" fillId="0" borderId="44" xfId="0" applyNumberFormat="1" applyBorder="1" applyAlignment="1">
      <alignment horizontal="center"/>
    </xf>
    <xf numFmtId="2" fontId="0" fillId="0" borderId="44" xfId="0" applyNumberFormat="1" applyBorder="1" applyAlignment="1">
      <alignment horizontal="center"/>
    </xf>
    <xf numFmtId="0" fontId="2" fillId="0" borderId="0" xfId="0" applyFont="1" applyAlignment="1">
      <alignment horizontal="left"/>
    </xf>
    <xf numFmtId="0" fontId="0" fillId="0" borderId="26" xfId="0" applyBorder="1" applyAlignment="1">
      <alignment horizontal="center"/>
    </xf>
    <xf numFmtId="0" fontId="0" fillId="0" borderId="33" xfId="0" applyBorder="1" applyAlignment="1">
      <alignment horizontal="center"/>
    </xf>
    <xf numFmtId="0" fontId="0" fillId="0" borderId="27" xfId="0" applyBorder="1" applyAlignment="1">
      <alignment horizontal="center"/>
    </xf>
    <xf numFmtId="2" fontId="0" fillId="0" borderId="0" xfId="0" applyNumberFormat="1" applyAlignment="1">
      <alignment horizontal="center"/>
    </xf>
    <xf numFmtId="2" fontId="0" fillId="0" borderId="27" xfId="0" applyNumberFormat="1" applyBorder="1" applyAlignment="1">
      <alignment horizontal="center"/>
    </xf>
    <xf numFmtId="164" fontId="0" fillId="0" borderId="27" xfId="0" applyNumberFormat="1" applyBorder="1" applyAlignment="1">
      <alignment horizontal="center"/>
    </xf>
    <xf numFmtId="0" fontId="0" fillId="0" borderId="0" xfId="0" applyAlignment="1">
      <alignment horizontal="left" wrapText="1"/>
    </xf>
    <xf numFmtId="0" fontId="5" fillId="0" borderId="37" xfId="0" applyFont="1" applyBorder="1" applyAlignment="1">
      <alignment horizontal="center" vertical="center"/>
    </xf>
    <xf numFmtId="0" fontId="5" fillId="0" borderId="22" xfId="0" applyFont="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10" xfId="0" applyFill="1" applyBorder="1" applyAlignment="1">
      <alignment horizontal="center"/>
    </xf>
    <xf numFmtId="0" fontId="0" fillId="2" borderId="2" xfId="0" applyFill="1" applyBorder="1" applyAlignment="1">
      <alignment horizontal="center" wrapText="1"/>
    </xf>
    <xf numFmtId="0" fontId="0" fillId="2" borderId="5" xfId="0" applyFill="1" applyBorder="1" applyAlignment="1">
      <alignment horizontal="center" wrapText="1"/>
    </xf>
    <xf numFmtId="0" fontId="0" fillId="2" borderId="11" xfId="0" applyFill="1" applyBorder="1" applyAlignment="1">
      <alignment horizontal="center" wrapText="1"/>
    </xf>
    <xf numFmtId="0" fontId="0" fillId="2" borderId="3" xfId="0" applyFill="1" applyBorder="1" applyAlignment="1">
      <alignment horizontal="center"/>
    </xf>
    <xf numFmtId="0" fontId="0" fillId="2" borderId="6" xfId="0" applyFill="1" applyBorder="1" applyAlignment="1">
      <alignment horizontal="center"/>
    </xf>
    <xf numFmtId="0" fontId="0" fillId="2" borderId="12" xfId="0" applyFill="1" applyBorder="1" applyAlignment="1">
      <alignment horizontal="center"/>
    </xf>
    <xf numFmtId="0" fontId="0" fillId="2" borderId="1" xfId="0" applyFill="1" applyBorder="1" applyAlignment="1">
      <alignment horizontal="center" wrapText="1"/>
    </xf>
    <xf numFmtId="0" fontId="0" fillId="2" borderId="4" xfId="0" applyFill="1" applyBorder="1" applyAlignment="1">
      <alignment horizontal="center" wrapText="1"/>
    </xf>
    <xf numFmtId="0" fontId="0" fillId="2" borderId="10"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12" xfId="0" applyFill="1" applyBorder="1" applyAlignment="1">
      <alignment horizontal="center" wrapText="1"/>
    </xf>
    <xf numFmtId="0" fontId="0" fillId="0" borderId="0" xfId="0" applyAlignment="1">
      <alignment horizontal="center" wrapText="1"/>
    </xf>
    <xf numFmtId="0" fontId="0" fillId="0" borderId="16" xfId="0" applyBorder="1" applyAlignment="1">
      <alignment horizontal="left" wrapText="1"/>
    </xf>
    <xf numFmtId="0" fontId="0" fillId="0" borderId="36" xfId="0" applyBorder="1" applyAlignment="1">
      <alignment horizontal="right"/>
    </xf>
    <xf numFmtId="0" fontId="0" fillId="0" borderId="20" xfId="0" applyBorder="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17</xdr:col>
      <xdr:colOff>209550</xdr:colOff>
      <xdr:row>42</xdr:row>
      <xdr:rowOff>9525</xdr:rowOff>
    </xdr:to>
    <xdr:pic>
      <xdr:nvPicPr>
        <xdr:cNvPr id="3" name="Picture 2" descr="Cover page for 2021 Lower Tuloumne River Annual Report, dated March 2022.">
          <a:extLst>
            <a:ext uri="{FF2B5EF4-FFF2-40B4-BE49-F238E27FC236}">
              <a16:creationId xmlns:a16="http://schemas.microsoft.com/office/drawing/2014/main" id="{3D63C906-BF64-1E57-A070-F3E51377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628650"/>
          <a:ext cx="6010275" cy="820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1</xdr:row>
      <xdr:rowOff>0</xdr:rowOff>
    </xdr:from>
    <xdr:to>
      <xdr:col>27</xdr:col>
      <xdr:colOff>66675</xdr:colOff>
      <xdr:row>40</xdr:row>
      <xdr:rowOff>85725</xdr:rowOff>
    </xdr:to>
    <xdr:pic>
      <xdr:nvPicPr>
        <xdr:cNvPr id="4" name="Picture 3" descr="Table 3. Number and % of females in the Tuolumne River salmon runs, 1971-2010.">
          <a:extLst>
            <a:ext uri="{FF2B5EF4-FFF2-40B4-BE49-F238E27FC236}">
              <a16:creationId xmlns:a16="http://schemas.microsoft.com/office/drawing/2014/main" id="{5A370AA9-AB59-7BAB-003B-C8305CC6AA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3800" y="628650"/>
          <a:ext cx="6162675" cy="789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76CF8-B5BF-4937-8827-6FC69ED35C0D}">
  <sheetPr codeName="Sheet5"/>
  <dimension ref="A1:M14"/>
  <sheetViews>
    <sheetView tabSelected="1" workbookViewId="0">
      <selection sqref="A1:M1"/>
    </sheetView>
  </sheetViews>
  <sheetFormatPr defaultRowHeight="15" x14ac:dyDescent="0.25"/>
  <cols>
    <col min="1" max="1" width="10" style="1" bestFit="1" customWidth="1"/>
    <col min="2" max="2" width="7.7109375" style="1" customWidth="1"/>
    <col min="3" max="4" width="11.85546875" style="1" customWidth="1"/>
    <col min="5" max="5" width="10.28515625" style="1" bestFit="1" customWidth="1"/>
    <col min="6" max="6" width="11.85546875" style="1" customWidth="1"/>
    <col min="7" max="7" width="8.7109375" style="1" customWidth="1"/>
    <col min="8" max="8" width="11.140625" style="1" customWidth="1"/>
    <col min="9" max="9" width="13.7109375" style="1" customWidth="1"/>
    <col min="10" max="10" width="10.85546875" style="1" customWidth="1"/>
    <col min="11" max="11" width="7.28515625" style="1" bestFit="1" customWidth="1"/>
    <col min="12" max="12" width="10.85546875" style="1" customWidth="1"/>
    <col min="13" max="13" width="11.42578125" style="1" customWidth="1"/>
    <col min="14" max="16384" width="9.140625" style="1"/>
  </cols>
  <sheetData>
    <row r="1" spans="1:13" ht="63.75" customHeight="1" thickBot="1" x14ac:dyDescent="0.3">
      <c r="A1" s="156" t="s">
        <v>0</v>
      </c>
      <c r="B1" s="156"/>
      <c r="C1" s="156"/>
      <c r="D1" s="156"/>
      <c r="E1" s="156"/>
      <c r="F1" s="156"/>
      <c r="G1" s="156"/>
      <c r="H1" s="156"/>
      <c r="I1" s="156"/>
      <c r="J1" s="156"/>
      <c r="K1" s="156"/>
      <c r="L1" s="156"/>
      <c r="M1" s="156"/>
    </row>
    <row r="2" spans="1:13" ht="75" x14ac:dyDescent="0.25">
      <c r="A2" s="35" t="s">
        <v>1</v>
      </c>
      <c r="B2" s="36" t="s">
        <v>2</v>
      </c>
      <c r="C2" s="36" t="s">
        <v>3</v>
      </c>
      <c r="D2" s="36" t="s">
        <v>4</v>
      </c>
      <c r="E2" s="36" t="s">
        <v>5</v>
      </c>
      <c r="F2" s="36" t="s">
        <v>6</v>
      </c>
      <c r="G2" s="36" t="s">
        <v>7</v>
      </c>
      <c r="H2" s="36" t="s">
        <v>8</v>
      </c>
      <c r="I2" s="36" t="s">
        <v>9</v>
      </c>
      <c r="J2" s="36" t="s">
        <v>10</v>
      </c>
      <c r="K2" s="36" t="s">
        <v>11</v>
      </c>
      <c r="L2" s="36" t="s">
        <v>12</v>
      </c>
      <c r="M2" s="37" t="s">
        <v>13</v>
      </c>
    </row>
    <row r="3" spans="1:13" x14ac:dyDescent="0.25">
      <c r="A3" s="38" t="s">
        <v>14</v>
      </c>
      <c r="B3" s="39">
        <v>2009</v>
      </c>
      <c r="C3" s="39"/>
      <c r="D3" s="39"/>
      <c r="E3" s="39"/>
      <c r="F3" s="39">
        <v>124</v>
      </c>
      <c r="G3" s="39"/>
      <c r="H3" s="39"/>
      <c r="I3" s="39">
        <v>607</v>
      </c>
      <c r="J3" s="40">
        <f t="shared" ref="J3:J12" si="0">I3*(1-E4)</f>
        <v>309.57</v>
      </c>
      <c r="K3" s="39"/>
      <c r="L3" s="39"/>
      <c r="M3" s="41"/>
    </row>
    <row r="4" spans="1:13" x14ac:dyDescent="0.25">
      <c r="A4" s="38" t="s">
        <v>14</v>
      </c>
      <c r="B4" s="39">
        <v>2010</v>
      </c>
      <c r="C4" s="40">
        <f t="shared" ref="C4:C13" si="1">E4*F4</f>
        <v>264.60000000000002</v>
      </c>
      <c r="D4" s="40">
        <f t="shared" ref="D4:D13" si="2">(1-E4)*F4</f>
        <v>275.39999999999998</v>
      </c>
      <c r="E4" s="42">
        <v>0.49</v>
      </c>
      <c r="F4" s="39">
        <v>540</v>
      </c>
      <c r="G4" s="39"/>
      <c r="H4" s="39"/>
      <c r="I4" s="39">
        <v>1140</v>
      </c>
      <c r="J4" s="40">
        <f t="shared" si="0"/>
        <v>307.8</v>
      </c>
      <c r="K4" s="39"/>
      <c r="L4" s="39"/>
      <c r="M4" s="41">
        <f>D4/J3</f>
        <v>0.88962108731466227</v>
      </c>
    </row>
    <row r="5" spans="1:13" x14ac:dyDescent="0.25">
      <c r="A5" s="38" t="s">
        <v>14</v>
      </c>
      <c r="B5" s="39">
        <v>2011</v>
      </c>
      <c r="C5" s="40">
        <f t="shared" si="1"/>
        <v>640.93999999999994</v>
      </c>
      <c r="D5" s="40">
        <f t="shared" si="2"/>
        <v>237.06</v>
      </c>
      <c r="E5" s="42">
        <v>0.73</v>
      </c>
      <c r="F5" s="39">
        <v>878</v>
      </c>
      <c r="G5" s="42"/>
      <c r="H5" s="39"/>
      <c r="I5" s="39">
        <v>1295</v>
      </c>
      <c r="J5" s="40">
        <f t="shared" si="0"/>
        <v>828.80000000000007</v>
      </c>
      <c r="K5" s="42">
        <f t="shared" ref="K5:K12" si="3">J5/F3</f>
        <v>6.6838709677419361</v>
      </c>
      <c r="L5" s="42"/>
      <c r="M5" s="41">
        <f t="shared" ref="M5:M12" si="4">D5/J4</f>
        <v>0.77017543859649118</v>
      </c>
    </row>
    <row r="6" spans="1:13" x14ac:dyDescent="0.25">
      <c r="A6" s="38" t="s">
        <v>14</v>
      </c>
      <c r="B6" s="39">
        <v>2012</v>
      </c>
      <c r="C6" s="40">
        <f t="shared" si="1"/>
        <v>281.88</v>
      </c>
      <c r="D6" s="40">
        <f t="shared" si="2"/>
        <v>501.12</v>
      </c>
      <c r="E6" s="42">
        <v>0.36</v>
      </c>
      <c r="F6" s="39">
        <v>783</v>
      </c>
      <c r="G6" s="42">
        <f>D6/F3</f>
        <v>4.0412903225806449</v>
      </c>
      <c r="H6" s="39"/>
      <c r="I6" s="39">
        <v>2896</v>
      </c>
      <c r="J6" s="40">
        <f t="shared" si="0"/>
        <v>2085.12</v>
      </c>
      <c r="K6" s="42">
        <f t="shared" si="3"/>
        <v>3.8613333333333331</v>
      </c>
      <c r="L6" s="42"/>
      <c r="M6" s="41">
        <f t="shared" si="4"/>
        <v>0.60463320463320458</v>
      </c>
    </row>
    <row r="7" spans="1:13" x14ac:dyDescent="0.25">
      <c r="A7" s="38" t="s">
        <v>14</v>
      </c>
      <c r="B7" s="39">
        <v>2013</v>
      </c>
      <c r="C7" s="40">
        <f t="shared" si="1"/>
        <v>539.28000000000009</v>
      </c>
      <c r="D7" s="40">
        <f t="shared" si="2"/>
        <v>1386.72</v>
      </c>
      <c r="E7" s="42">
        <v>0.28000000000000003</v>
      </c>
      <c r="F7" s="39">
        <v>1926</v>
      </c>
      <c r="G7" s="42">
        <f t="shared" ref="G7:G13" si="5">D7/F4</f>
        <v>2.5680000000000001</v>
      </c>
      <c r="H7" s="42"/>
      <c r="I7" s="39">
        <v>650</v>
      </c>
      <c r="J7" s="40">
        <f t="shared" si="0"/>
        <v>227.49999999999997</v>
      </c>
      <c r="K7" s="42">
        <f t="shared" si="3"/>
        <v>0.25911161731207288</v>
      </c>
      <c r="L7" s="42"/>
      <c r="M7" s="41">
        <f t="shared" si="4"/>
        <v>0.66505524861878462</v>
      </c>
    </row>
    <row r="8" spans="1:13" x14ac:dyDescent="0.25">
      <c r="A8" s="38" t="s">
        <v>14</v>
      </c>
      <c r="B8" s="39">
        <v>2014</v>
      </c>
      <c r="C8" s="40">
        <f t="shared" si="1"/>
        <v>133.9</v>
      </c>
      <c r="D8" s="40">
        <f t="shared" si="2"/>
        <v>72.099999999999994</v>
      </c>
      <c r="E8" s="42">
        <v>0.65</v>
      </c>
      <c r="F8" s="39">
        <v>206</v>
      </c>
      <c r="G8" s="42">
        <f t="shared" si="5"/>
        <v>8.2118451025056938E-2</v>
      </c>
      <c r="H8" s="42"/>
      <c r="I8" s="39">
        <v>162</v>
      </c>
      <c r="J8" s="40">
        <f t="shared" si="0"/>
        <v>56.699999999999996</v>
      </c>
      <c r="K8" s="42">
        <f t="shared" si="3"/>
        <v>7.2413793103448268E-2</v>
      </c>
      <c r="L8" s="42"/>
      <c r="M8" s="41">
        <f t="shared" si="4"/>
        <v>0.31692307692307692</v>
      </c>
    </row>
    <row r="9" spans="1:13" x14ac:dyDescent="0.25">
      <c r="A9" s="38" t="s">
        <v>14</v>
      </c>
      <c r="B9" s="39">
        <v>2015</v>
      </c>
      <c r="C9" s="40">
        <f t="shared" si="1"/>
        <v>73.45</v>
      </c>
      <c r="D9" s="40">
        <f t="shared" si="2"/>
        <v>39.549999999999997</v>
      </c>
      <c r="E9" s="42">
        <v>0.65</v>
      </c>
      <c r="F9" s="39">
        <v>113</v>
      </c>
      <c r="G9" s="42">
        <f t="shared" si="5"/>
        <v>5.0510855683269476E-2</v>
      </c>
      <c r="H9" s="42"/>
      <c r="I9" s="39">
        <v>1962</v>
      </c>
      <c r="J9" s="40">
        <f>I9*(1-E10)</f>
        <v>235.44</v>
      </c>
      <c r="K9" s="42">
        <f t="shared" si="3"/>
        <v>0.1222429906542056</v>
      </c>
      <c r="L9" s="42">
        <f>GEOMEAN(K5:K9)</f>
        <v>0.56814540675670955</v>
      </c>
      <c r="M9" s="41">
        <f t="shared" si="4"/>
        <v>0.69753086419753085</v>
      </c>
    </row>
    <row r="10" spans="1:13" x14ac:dyDescent="0.25">
      <c r="A10" s="38" t="s">
        <v>14</v>
      </c>
      <c r="B10" s="39">
        <v>2016</v>
      </c>
      <c r="C10" s="40">
        <f t="shared" si="1"/>
        <v>1194.1600000000001</v>
      </c>
      <c r="D10" s="40">
        <f t="shared" si="2"/>
        <v>162.84</v>
      </c>
      <c r="E10" s="42">
        <v>0.88</v>
      </c>
      <c r="F10" s="39">
        <v>1357</v>
      </c>
      <c r="G10" s="42">
        <f t="shared" si="5"/>
        <v>8.4548286604361367E-2</v>
      </c>
      <c r="H10" s="42">
        <f>GEOMEAN(G6:G10)</f>
        <v>0.32524383342826441</v>
      </c>
      <c r="I10" s="39">
        <v>2037</v>
      </c>
      <c r="J10" s="40">
        <f t="shared" si="0"/>
        <v>264.81</v>
      </c>
      <c r="K10" s="42">
        <f t="shared" si="3"/>
        <v>1.2854854368932038</v>
      </c>
      <c r="L10" s="42">
        <f>GEOMEAN(K6:K10)</f>
        <v>0.40857079594560719</v>
      </c>
      <c r="M10" s="41">
        <f t="shared" si="4"/>
        <v>0.69164118246687056</v>
      </c>
    </row>
    <row r="11" spans="1:13" x14ac:dyDescent="0.25">
      <c r="A11" s="38" t="s">
        <v>14</v>
      </c>
      <c r="B11" s="39">
        <v>2017</v>
      </c>
      <c r="C11" s="40">
        <f t="shared" si="1"/>
        <v>972.66</v>
      </c>
      <c r="D11" s="40">
        <f t="shared" si="2"/>
        <v>145.34</v>
      </c>
      <c r="E11" s="42">
        <v>0.87</v>
      </c>
      <c r="F11" s="39">
        <v>1118</v>
      </c>
      <c r="G11" s="42">
        <f t="shared" si="5"/>
        <v>0.70553398058252426</v>
      </c>
      <c r="H11" s="42">
        <f>GEOMEAN(G7:G11)</f>
        <v>0.22940804720943458</v>
      </c>
      <c r="I11" s="39">
        <v>1851</v>
      </c>
      <c r="J11" s="40">
        <f t="shared" si="0"/>
        <v>795.93000000000006</v>
      </c>
      <c r="K11" s="42">
        <f t="shared" si="3"/>
        <v>7.0436283185840711</v>
      </c>
      <c r="L11" s="42">
        <f>GEOMEAN(K7:K11)</f>
        <v>0.4607646452363966</v>
      </c>
      <c r="M11" s="41">
        <f t="shared" si="4"/>
        <v>0.5488463426607757</v>
      </c>
    </row>
    <row r="12" spans="1:13" x14ac:dyDescent="0.25">
      <c r="A12" s="38" t="s">
        <v>14</v>
      </c>
      <c r="B12" s="39">
        <v>2018</v>
      </c>
      <c r="C12" s="40">
        <f t="shared" si="1"/>
        <v>613.89</v>
      </c>
      <c r="D12" s="40">
        <f t="shared" si="2"/>
        <v>463.11000000000007</v>
      </c>
      <c r="E12" s="42">
        <v>0.56999999999999995</v>
      </c>
      <c r="F12" s="39">
        <v>1077</v>
      </c>
      <c r="G12" s="42">
        <f t="shared" si="5"/>
        <v>4.098318584070797</v>
      </c>
      <c r="H12" s="42">
        <f t="shared" ref="H12" si="6">GEOMEAN(G8:G12)</f>
        <v>0.25188991930586763</v>
      </c>
      <c r="I12" s="39">
        <v>2119</v>
      </c>
      <c r="J12" s="40">
        <f t="shared" si="0"/>
        <v>1758.77</v>
      </c>
      <c r="K12" s="42">
        <f t="shared" si="3"/>
        <v>1.296072218128224</v>
      </c>
      <c r="L12" s="42">
        <f>GEOMEAN(K8:K12)</f>
        <v>0.63578109687333151</v>
      </c>
      <c r="M12" s="41">
        <f t="shared" si="4"/>
        <v>0.58184764991896276</v>
      </c>
    </row>
    <row r="13" spans="1:13" ht="15.75" thickBot="1" x14ac:dyDescent="0.3">
      <c r="A13" s="38" t="s">
        <v>14</v>
      </c>
      <c r="B13" s="39">
        <v>2019</v>
      </c>
      <c r="C13" s="40">
        <f t="shared" si="1"/>
        <v>158.27000000000001</v>
      </c>
      <c r="D13" s="40">
        <f t="shared" si="2"/>
        <v>772.73</v>
      </c>
      <c r="E13" s="42">
        <v>0.17</v>
      </c>
      <c r="F13" s="39">
        <v>931</v>
      </c>
      <c r="G13" s="42">
        <f t="shared" si="5"/>
        <v>0.56943994104642592</v>
      </c>
      <c r="H13" s="42">
        <f>GEOMEAN(G9:G13)</f>
        <v>0.37103273070549231</v>
      </c>
      <c r="I13" s="39">
        <v>581</v>
      </c>
      <c r="J13" s="39"/>
      <c r="K13" s="39"/>
      <c r="L13" s="43"/>
      <c r="M13" s="41">
        <f>D13/J12</f>
        <v>0.43935818782444552</v>
      </c>
    </row>
    <row r="14" spans="1:13" ht="15.75" thickBot="1" x14ac:dyDescent="0.3">
      <c r="A14" s="157" t="s">
        <v>15</v>
      </c>
      <c r="B14" s="158"/>
      <c r="C14" s="44">
        <f t="shared" ref="C14:D14" si="7">GEOMEAN(C4:C13)</f>
        <v>351.28296577531927</v>
      </c>
      <c r="D14" s="44">
        <f t="shared" si="7"/>
        <v>253.49492350184116</v>
      </c>
      <c r="E14" s="45">
        <f>GEOMEAN(E4:E13)</f>
        <v>0.5073564532993915</v>
      </c>
      <c r="F14" s="44">
        <f>GEOMEAN(F4:F13)</f>
        <v>692.37902364479601</v>
      </c>
      <c r="G14" s="46">
        <f t="shared" ref="G14:M14" si="8">GEOMEAN(G3:G13)</f>
        <v>0.52747528632004248</v>
      </c>
      <c r="H14" s="44"/>
      <c r="I14" s="44">
        <f t="shared" si="8"/>
        <v>1086.4242089561226</v>
      </c>
      <c r="J14" s="44">
        <f t="shared" si="8"/>
        <v>423.45486744468099</v>
      </c>
      <c r="K14" s="45">
        <f>GEOMEAN(K3:K13)</f>
        <v>0.95548480875466701</v>
      </c>
      <c r="L14" s="44"/>
      <c r="M14" s="47">
        <f t="shared" si="8"/>
        <v>0.59863504470156326</v>
      </c>
    </row>
  </sheetData>
  <sheetProtection sheet="1" objects="1" scenarios="1"/>
  <mergeCells count="2">
    <mergeCell ref="A1:M1"/>
    <mergeCell ref="A14:B14"/>
  </mergeCell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A1A6F-1AAB-415F-8E4D-D5DBA1D6516F}">
  <sheetPr codeName="Sheet6"/>
  <dimension ref="A1:M14"/>
  <sheetViews>
    <sheetView workbookViewId="0">
      <selection sqref="A1:M1"/>
    </sheetView>
  </sheetViews>
  <sheetFormatPr defaultRowHeight="15" x14ac:dyDescent="0.25"/>
  <cols>
    <col min="1" max="1" width="10.42578125" style="1" customWidth="1"/>
    <col min="2" max="2" width="9.140625" style="1"/>
    <col min="3" max="4" width="12" style="1" customWidth="1"/>
    <col min="5" max="5" width="10.28515625" style="1" bestFit="1" customWidth="1"/>
    <col min="6" max="6" width="12" style="1" customWidth="1"/>
    <col min="7" max="7" width="8" style="1" customWidth="1"/>
    <col min="8" max="8" width="11.140625" style="1" customWidth="1"/>
    <col min="9" max="9" width="13.5703125" style="1" customWidth="1"/>
    <col min="10" max="10" width="10.5703125" style="1" customWidth="1"/>
    <col min="11" max="11" width="7.42578125" style="1" customWidth="1"/>
    <col min="12" max="12" width="12.28515625" style="1" customWidth="1"/>
    <col min="13" max="13" width="11.7109375" style="1" customWidth="1"/>
    <col min="14" max="16384" width="9.140625" style="1"/>
  </cols>
  <sheetData>
    <row r="1" spans="1:13" ht="60.75" customHeight="1" thickBot="1" x14ac:dyDescent="0.3">
      <c r="A1" s="156" t="s">
        <v>16</v>
      </c>
      <c r="B1" s="156"/>
      <c r="C1" s="156"/>
      <c r="D1" s="156"/>
      <c r="E1" s="156"/>
      <c r="F1" s="156"/>
      <c r="G1" s="156"/>
      <c r="H1" s="156"/>
      <c r="I1" s="156"/>
      <c r="J1" s="156"/>
      <c r="K1" s="156"/>
      <c r="L1" s="156"/>
      <c r="M1" s="156"/>
    </row>
    <row r="2" spans="1:13" ht="60" x14ac:dyDescent="0.25">
      <c r="A2" s="35" t="s">
        <v>1</v>
      </c>
      <c r="B2" s="36" t="s">
        <v>2</v>
      </c>
      <c r="C2" s="36" t="s">
        <v>3</v>
      </c>
      <c r="D2" s="36" t="s">
        <v>4</v>
      </c>
      <c r="E2" s="36" t="s">
        <v>5</v>
      </c>
      <c r="F2" s="36" t="s">
        <v>6</v>
      </c>
      <c r="G2" s="36" t="s">
        <v>7</v>
      </c>
      <c r="H2" s="36" t="s">
        <v>8</v>
      </c>
      <c r="I2" s="36" t="s">
        <v>9</v>
      </c>
      <c r="J2" s="36" t="s">
        <v>10</v>
      </c>
      <c r="K2" s="36" t="s">
        <v>11</v>
      </c>
      <c r="L2" s="36" t="s">
        <v>12</v>
      </c>
      <c r="M2" s="37" t="s">
        <v>13</v>
      </c>
    </row>
    <row r="3" spans="1:13" x14ac:dyDescent="0.25">
      <c r="A3" s="38" t="s">
        <v>17</v>
      </c>
      <c r="B3" s="39">
        <v>2009</v>
      </c>
      <c r="C3" s="39"/>
      <c r="D3" s="39"/>
      <c r="E3" s="39"/>
      <c r="F3" s="39">
        <v>595</v>
      </c>
      <c r="G3" s="39"/>
      <c r="H3" s="39"/>
      <c r="I3" s="39">
        <v>1222</v>
      </c>
      <c r="J3" s="40">
        <f>I3*(1-E4)</f>
        <v>611</v>
      </c>
      <c r="K3" s="39"/>
      <c r="L3" s="39"/>
      <c r="M3" s="41"/>
    </row>
    <row r="4" spans="1:13" x14ac:dyDescent="0.25">
      <c r="A4" s="38" t="s">
        <v>17</v>
      </c>
      <c r="B4" s="39">
        <v>2010</v>
      </c>
      <c r="C4" s="40">
        <f t="shared" ref="C4:C13" si="0">E4*F4</f>
        <v>543</v>
      </c>
      <c r="D4" s="40">
        <f t="shared" ref="D4:D13" si="1">(1-E4)*F4</f>
        <v>543</v>
      </c>
      <c r="E4" s="42">
        <v>0.5</v>
      </c>
      <c r="F4" s="39">
        <v>1086</v>
      </c>
      <c r="G4" s="39"/>
      <c r="H4" s="39"/>
      <c r="I4" s="39">
        <v>1669</v>
      </c>
      <c r="J4" s="40">
        <f>I4*(1-E5)</f>
        <v>283.73000000000008</v>
      </c>
      <c r="K4" s="39"/>
      <c r="L4" s="39"/>
      <c r="M4" s="41">
        <f>D4/J3</f>
        <v>0.88870703764320791</v>
      </c>
    </row>
    <row r="5" spans="1:13" x14ac:dyDescent="0.25">
      <c r="A5" s="38" t="s">
        <v>17</v>
      </c>
      <c r="B5" s="39">
        <v>2011</v>
      </c>
      <c r="C5" s="40">
        <f t="shared" si="0"/>
        <v>882.29</v>
      </c>
      <c r="D5" s="40">
        <f t="shared" si="1"/>
        <v>180.71000000000004</v>
      </c>
      <c r="E5" s="42">
        <v>0.83</v>
      </c>
      <c r="F5" s="39">
        <v>1063</v>
      </c>
      <c r="G5" s="42"/>
      <c r="H5" s="39"/>
      <c r="I5" s="39">
        <v>6688</v>
      </c>
      <c r="J5" s="40">
        <f>I5*(1-E6)</f>
        <v>1136.9600000000003</v>
      </c>
      <c r="K5" s="42">
        <f>J5/F3</f>
        <v>1.9108571428571433</v>
      </c>
      <c r="L5" s="42"/>
      <c r="M5" s="41">
        <f>D5/J4</f>
        <v>0.63690832834032352</v>
      </c>
    </row>
    <row r="6" spans="1:13" x14ac:dyDescent="0.25">
      <c r="A6" s="38" t="s">
        <v>17</v>
      </c>
      <c r="B6" s="39">
        <v>2012</v>
      </c>
      <c r="C6" s="40">
        <f t="shared" si="0"/>
        <v>3324.98</v>
      </c>
      <c r="D6" s="40">
        <f t="shared" si="1"/>
        <v>681.02000000000021</v>
      </c>
      <c r="E6" s="42">
        <v>0.83</v>
      </c>
      <c r="F6" s="39">
        <v>4006</v>
      </c>
      <c r="G6" s="42">
        <f>D6/F3</f>
        <v>1.144571428571429</v>
      </c>
      <c r="H6" s="39"/>
      <c r="I6" s="39">
        <v>4274</v>
      </c>
      <c r="J6" s="40">
        <f>I6*(1-E7)</f>
        <v>1453.1599999999999</v>
      </c>
      <c r="K6" s="42">
        <f t="shared" ref="K6:K7" si="2">J6/F4</f>
        <v>1.3380847145488028</v>
      </c>
      <c r="L6" s="42"/>
      <c r="M6" s="41">
        <f>D6/J5</f>
        <v>0.59898325358851678</v>
      </c>
    </row>
    <row r="7" spans="1:13" x14ac:dyDescent="0.25">
      <c r="A7" s="38" t="s">
        <v>17</v>
      </c>
      <c r="B7" s="39">
        <v>2013</v>
      </c>
      <c r="C7" s="40">
        <f t="shared" si="0"/>
        <v>1877.7</v>
      </c>
      <c r="D7" s="40">
        <f t="shared" si="1"/>
        <v>967.3</v>
      </c>
      <c r="E7" s="42">
        <v>0.66</v>
      </c>
      <c r="F7" s="39">
        <v>2845</v>
      </c>
      <c r="G7" s="42">
        <f t="shared" ref="G7:G13" si="3">D7/F4</f>
        <v>0.89069981583793734</v>
      </c>
      <c r="H7" s="42"/>
      <c r="I7" s="39">
        <v>4572</v>
      </c>
      <c r="J7" s="40">
        <f t="shared" ref="J7:J9" si="4">I7*(1-E8)</f>
        <v>1600.1999999999998</v>
      </c>
      <c r="K7" s="42">
        <f t="shared" si="2"/>
        <v>1.5053621825023518</v>
      </c>
      <c r="L7" s="42"/>
      <c r="M7" s="41">
        <f t="shared" ref="M7:M11" si="5">D7/J6</f>
        <v>0.6656527842770239</v>
      </c>
    </row>
    <row r="8" spans="1:13" x14ac:dyDescent="0.25">
      <c r="A8" s="38" t="s">
        <v>17</v>
      </c>
      <c r="B8" s="39">
        <v>2014</v>
      </c>
      <c r="C8" s="40">
        <f t="shared" si="0"/>
        <v>1991.6000000000001</v>
      </c>
      <c r="D8" s="40">
        <f t="shared" si="1"/>
        <v>1072.3999999999999</v>
      </c>
      <c r="E8" s="42">
        <v>0.65</v>
      </c>
      <c r="F8" s="39">
        <v>3064</v>
      </c>
      <c r="G8" s="42">
        <f t="shared" si="3"/>
        <v>1.0088428974600188</v>
      </c>
      <c r="H8" s="42"/>
      <c r="I8" s="39">
        <v>8984</v>
      </c>
      <c r="J8" s="40">
        <f t="shared" si="4"/>
        <v>1976.4799999999998</v>
      </c>
      <c r="K8" s="42">
        <f>J8/F6</f>
        <v>0.49337993010484266</v>
      </c>
      <c r="L8" s="42"/>
      <c r="M8" s="41">
        <f>D8/J7</f>
        <v>0.67016622922134728</v>
      </c>
    </row>
    <row r="9" spans="1:13" x14ac:dyDescent="0.25">
      <c r="A9" s="38" t="s">
        <v>17</v>
      </c>
      <c r="B9" s="39">
        <v>2015</v>
      </c>
      <c r="C9" s="40">
        <f t="shared" si="0"/>
        <v>4786.08</v>
      </c>
      <c r="D9" s="40">
        <f t="shared" si="1"/>
        <v>1349.9199999999998</v>
      </c>
      <c r="E9" s="42">
        <v>0.78</v>
      </c>
      <c r="F9" s="39">
        <v>6136</v>
      </c>
      <c r="G9" s="42">
        <f t="shared" si="3"/>
        <v>0.33697453819271089</v>
      </c>
      <c r="H9" s="42"/>
      <c r="I9" s="39">
        <v>13607</v>
      </c>
      <c r="J9" s="40">
        <f t="shared" si="4"/>
        <v>3401.75</v>
      </c>
      <c r="K9" s="42">
        <f>J9/F7</f>
        <v>1.1956942003514939</v>
      </c>
      <c r="L9" s="42">
        <f>GEOMEAN(K5:K9)</f>
        <v>1.1782321977995092</v>
      </c>
      <c r="M9" s="41">
        <f t="shared" si="5"/>
        <v>0.68299198575244879</v>
      </c>
    </row>
    <row r="10" spans="1:13" x14ac:dyDescent="0.25">
      <c r="A10" s="38" t="s">
        <v>17</v>
      </c>
      <c r="B10" s="39">
        <v>2016</v>
      </c>
      <c r="C10" s="40">
        <f t="shared" si="0"/>
        <v>6894</v>
      </c>
      <c r="D10" s="40">
        <f t="shared" si="1"/>
        <v>2298</v>
      </c>
      <c r="E10" s="42">
        <v>0.75</v>
      </c>
      <c r="F10" s="39">
        <v>9192</v>
      </c>
      <c r="G10" s="42">
        <f t="shared" si="3"/>
        <v>0.80773286467486816</v>
      </c>
      <c r="H10" s="42">
        <f>GEOMEAN(G6:G10)</f>
        <v>0.77519779526153798</v>
      </c>
      <c r="I10" s="39">
        <v>10520</v>
      </c>
      <c r="J10" s="40">
        <f>I10*(1-E11)</f>
        <v>210.40000000000018</v>
      </c>
      <c r="K10" s="42">
        <f>J10/F8</f>
        <v>6.8668407310705018E-2</v>
      </c>
      <c r="L10" s="42">
        <f t="shared" ref="L10:L12" si="6">GEOMEAN(K6:K10)</f>
        <v>0.60581027846664626</v>
      </c>
      <c r="M10" s="41">
        <f t="shared" si="5"/>
        <v>0.67553465128242818</v>
      </c>
    </row>
    <row r="11" spans="1:13" x14ac:dyDescent="0.25">
      <c r="A11" s="38" t="s">
        <v>17</v>
      </c>
      <c r="B11" s="39">
        <v>2017</v>
      </c>
      <c r="C11" s="40">
        <f t="shared" si="0"/>
        <v>3429.02</v>
      </c>
      <c r="D11" s="40">
        <f t="shared" si="1"/>
        <v>69.980000000000061</v>
      </c>
      <c r="E11" s="42">
        <v>0.98</v>
      </c>
      <c r="F11" s="39">
        <v>3499</v>
      </c>
      <c r="G11" s="42">
        <f t="shared" si="3"/>
        <v>2.2839425587467384E-2</v>
      </c>
      <c r="H11" s="42">
        <f>GEOMEAN(G7:G11)</f>
        <v>0.35434065545041754</v>
      </c>
      <c r="I11" s="39">
        <v>4074</v>
      </c>
      <c r="J11" s="40">
        <f t="shared" ref="J11:J12" si="7">I11*(1-E12)</f>
        <v>1018.5</v>
      </c>
      <c r="K11" s="42">
        <f t="shared" ref="K11:K12" si="8">J11/F9</f>
        <v>0.16598761408083443</v>
      </c>
      <c r="L11" s="42">
        <f t="shared" si="6"/>
        <v>0.39907548678624849</v>
      </c>
      <c r="M11" s="41">
        <f t="shared" si="5"/>
        <v>0.33260456273764261</v>
      </c>
    </row>
    <row r="12" spans="1:13" x14ac:dyDescent="0.25">
      <c r="A12" s="38" t="s">
        <v>17</v>
      </c>
      <c r="B12" s="39">
        <v>2018</v>
      </c>
      <c r="C12" s="40">
        <f t="shared" si="0"/>
        <v>1782.75</v>
      </c>
      <c r="D12" s="40">
        <f t="shared" si="1"/>
        <v>594.25</v>
      </c>
      <c r="E12" s="42">
        <v>0.75</v>
      </c>
      <c r="F12" s="39">
        <v>2377</v>
      </c>
      <c r="G12" s="42">
        <f t="shared" si="3"/>
        <v>9.6846479791395046E-2</v>
      </c>
      <c r="H12" s="42">
        <f t="shared" ref="H12" si="9">GEOMEAN(G8:G12)</f>
        <v>0.22734817879227087</v>
      </c>
      <c r="I12" s="39">
        <v>3395</v>
      </c>
      <c r="J12" s="40">
        <f t="shared" si="7"/>
        <v>1561.6999999999998</v>
      </c>
      <c r="K12" s="42">
        <f t="shared" si="8"/>
        <v>0.1698977371627502</v>
      </c>
      <c r="L12" s="42">
        <f t="shared" si="6"/>
        <v>0.25796712922868464</v>
      </c>
      <c r="M12" s="41">
        <f>D12/J11</f>
        <v>0.58345606283750617</v>
      </c>
    </row>
    <row r="13" spans="1:13" ht="15.75" thickBot="1" x14ac:dyDescent="0.3">
      <c r="A13" s="48" t="s">
        <v>17</v>
      </c>
      <c r="B13" s="49">
        <v>2019</v>
      </c>
      <c r="C13" s="50">
        <f t="shared" si="0"/>
        <v>812.16000000000008</v>
      </c>
      <c r="D13" s="50">
        <f t="shared" si="1"/>
        <v>691.83999999999992</v>
      </c>
      <c r="E13" s="51">
        <v>0.54</v>
      </c>
      <c r="F13" s="49">
        <v>1504</v>
      </c>
      <c r="G13" s="51">
        <f t="shared" si="3"/>
        <v>7.5265448215839859E-2</v>
      </c>
      <c r="H13" s="51">
        <f>GEOMEAN(G9:G13)</f>
        <v>0.13528383369345512</v>
      </c>
      <c r="I13" s="49">
        <v>1198</v>
      </c>
      <c r="J13" s="49"/>
      <c r="K13" s="49"/>
      <c r="L13" s="52"/>
      <c r="M13" s="53">
        <f>D13/J12</f>
        <v>0.4430044182621502</v>
      </c>
    </row>
    <row r="14" spans="1:13" ht="15.75" thickBot="1" x14ac:dyDescent="0.3">
      <c r="A14" s="157" t="s">
        <v>15</v>
      </c>
      <c r="B14" s="158"/>
      <c r="C14" s="44">
        <f t="shared" ref="C14:D14" si="10">GEOMEAN(C4:C13)</f>
        <v>1990.3900133735435</v>
      </c>
      <c r="D14" s="44">
        <f t="shared" si="10"/>
        <v>601.37680406809034</v>
      </c>
      <c r="E14" s="45">
        <f>GEOMEAN(E4:E13)</f>
        <v>0.71374330021570087</v>
      </c>
      <c r="F14" s="44">
        <f>GEOMEAN(F4:F13)</f>
        <v>2788.6636733010682</v>
      </c>
      <c r="G14" s="46">
        <f t="shared" ref="G14:M14" si="11">GEOMEAN(G3:G13)</f>
        <v>0.28744411012216076</v>
      </c>
      <c r="H14" s="44"/>
      <c r="I14" s="44">
        <f t="shared" si="11"/>
        <v>4111.7812637996376</v>
      </c>
      <c r="J14" s="44">
        <f t="shared" si="11"/>
        <v>1003.0852750661882</v>
      </c>
      <c r="K14" s="45">
        <f t="shared" si="11"/>
        <v>0.50745418157866229</v>
      </c>
      <c r="L14" s="44"/>
      <c r="M14" s="47">
        <f t="shared" si="11"/>
        <v>0.59952709806093885</v>
      </c>
    </row>
  </sheetData>
  <sheetProtection sheet="1" objects="1" scenarios="1"/>
  <mergeCells count="2">
    <mergeCell ref="A1:M1"/>
    <mergeCell ref="A14:B14"/>
  </mergeCell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ACFA-4C88-4FE8-97BA-731BFC1A6D9B}">
  <sheetPr codeName="Sheet7"/>
  <dimension ref="A1:R14"/>
  <sheetViews>
    <sheetView workbookViewId="0">
      <selection sqref="A1:R1"/>
    </sheetView>
  </sheetViews>
  <sheetFormatPr defaultRowHeight="15" x14ac:dyDescent="0.25"/>
  <cols>
    <col min="1" max="2" width="9.140625" style="1"/>
    <col min="3" max="4" width="11.7109375" style="1" customWidth="1"/>
    <col min="5" max="5" width="10.28515625" style="1" bestFit="1" customWidth="1"/>
    <col min="6" max="6" width="11.7109375" style="1" customWidth="1"/>
    <col min="7" max="8" width="11.5703125" style="1" customWidth="1"/>
    <col min="9" max="9" width="10.7109375" style="1" customWidth="1"/>
    <col min="10" max="10" width="11.5703125" style="1" customWidth="1"/>
    <col min="11" max="12" width="9.140625" style="1"/>
    <col min="13" max="13" width="12.42578125" style="1" customWidth="1"/>
    <col min="14" max="14" width="14.85546875" style="1" customWidth="1"/>
    <col min="15" max="15" width="10.7109375" style="1" customWidth="1"/>
    <col min="16" max="16" width="9.140625" style="1"/>
    <col min="17" max="17" width="13.140625" style="1" customWidth="1"/>
    <col min="18" max="18" width="12" style="1" customWidth="1"/>
    <col min="19" max="16384" width="9.140625" style="1"/>
  </cols>
  <sheetData>
    <row r="1" spans="1:18" ht="62.25" customHeight="1" thickBot="1" x14ac:dyDescent="0.3">
      <c r="A1" s="129" t="s">
        <v>18</v>
      </c>
      <c r="B1" s="129"/>
      <c r="C1" s="129"/>
      <c r="D1" s="129"/>
      <c r="E1" s="129"/>
      <c r="F1" s="129"/>
      <c r="G1" s="129"/>
      <c r="H1" s="129"/>
      <c r="I1" s="129"/>
      <c r="J1" s="129"/>
      <c r="K1" s="129"/>
      <c r="L1" s="129"/>
      <c r="M1" s="129"/>
      <c r="N1" s="129"/>
      <c r="O1" s="129"/>
      <c r="P1" s="129"/>
      <c r="Q1" s="129"/>
      <c r="R1" s="129"/>
    </row>
    <row r="2" spans="1:18" ht="60" x14ac:dyDescent="0.25">
      <c r="A2" s="35" t="s">
        <v>1</v>
      </c>
      <c r="B2" s="36" t="s">
        <v>2</v>
      </c>
      <c r="C2" s="36" t="s">
        <v>3</v>
      </c>
      <c r="D2" s="36" t="s">
        <v>4</v>
      </c>
      <c r="E2" s="36" t="s">
        <v>5</v>
      </c>
      <c r="F2" s="36" t="s">
        <v>6</v>
      </c>
      <c r="G2" s="36" t="s">
        <v>19</v>
      </c>
      <c r="H2" s="36" t="s">
        <v>20</v>
      </c>
      <c r="I2" s="36" t="s">
        <v>21</v>
      </c>
      <c r="J2" s="36" t="s">
        <v>22</v>
      </c>
      <c r="K2" s="36" t="s">
        <v>23</v>
      </c>
      <c r="L2" s="36" t="s">
        <v>7</v>
      </c>
      <c r="M2" s="36" t="s">
        <v>8</v>
      </c>
      <c r="N2" s="36" t="s">
        <v>9</v>
      </c>
      <c r="O2" s="36" t="s">
        <v>10</v>
      </c>
      <c r="P2" s="36" t="s">
        <v>11</v>
      </c>
      <c r="Q2" s="36" t="s">
        <v>12</v>
      </c>
      <c r="R2" s="37" t="s">
        <v>13</v>
      </c>
    </row>
    <row r="3" spans="1:18" x14ac:dyDescent="0.25">
      <c r="A3" s="38" t="s">
        <v>24</v>
      </c>
      <c r="B3" s="39">
        <v>2009</v>
      </c>
      <c r="C3" s="39"/>
      <c r="D3" s="39"/>
      <c r="E3" s="39"/>
      <c r="F3" s="39">
        <v>358</v>
      </c>
      <c r="G3" s="39"/>
      <c r="H3" s="39"/>
      <c r="I3" s="39"/>
      <c r="J3" s="40">
        <v>246</v>
      </c>
      <c r="K3" s="39"/>
      <c r="L3" s="39"/>
      <c r="M3" s="42"/>
      <c r="N3" s="39">
        <v>896</v>
      </c>
      <c r="O3" s="40">
        <f>N3*(1-K4)</f>
        <v>195.47864491844419</v>
      </c>
      <c r="P3" s="39"/>
      <c r="Q3" s="39"/>
      <c r="R3" s="54"/>
    </row>
    <row r="4" spans="1:18" x14ac:dyDescent="0.25">
      <c r="A4" s="38" t="s">
        <v>24</v>
      </c>
      <c r="B4" s="39">
        <v>2010</v>
      </c>
      <c r="C4" s="40">
        <f>E4*F4</f>
        <v>507.78000000000003</v>
      </c>
      <c r="D4" s="40">
        <f>(1-E4)*F4</f>
        <v>143.21999999999997</v>
      </c>
      <c r="E4" s="42">
        <v>0.78</v>
      </c>
      <c r="F4" s="39">
        <v>651</v>
      </c>
      <c r="G4" s="40">
        <f>J4*I4</f>
        <v>115.34</v>
      </c>
      <c r="H4" s="40">
        <f>J4*(1-I4)</f>
        <v>30.659999999999997</v>
      </c>
      <c r="I4" s="39">
        <v>0.79</v>
      </c>
      <c r="J4" s="40">
        <v>146</v>
      </c>
      <c r="K4" s="42">
        <f>(C4+G4)/(F4+J4)</f>
        <v>0.78183186951066497</v>
      </c>
      <c r="L4" s="39"/>
      <c r="M4" s="42"/>
      <c r="N4" s="39">
        <v>2473</v>
      </c>
      <c r="O4" s="40">
        <f t="shared" ref="O4:O11" si="0">N4*(1-K5)</f>
        <v>277.29657407407421</v>
      </c>
      <c r="P4" s="40"/>
      <c r="Q4" s="40"/>
      <c r="R4" s="41">
        <f>(D4+H4)/O3</f>
        <v>0.88950892857142827</v>
      </c>
    </row>
    <row r="5" spans="1:18" x14ac:dyDescent="0.25">
      <c r="A5" s="38" t="s">
        <v>24</v>
      </c>
      <c r="B5" s="39">
        <v>2011</v>
      </c>
      <c r="C5" s="40">
        <f t="shared" ref="C5:C13" si="1">E5*F5</f>
        <v>1437.35</v>
      </c>
      <c r="D5" s="40">
        <f t="shared" ref="D5:D13" si="2">(1-E5)*F5</f>
        <v>177.64999999999998</v>
      </c>
      <c r="E5" s="42">
        <v>0.89</v>
      </c>
      <c r="F5" s="39">
        <v>1615</v>
      </c>
      <c r="G5" s="40">
        <f t="shared" ref="G5:G13" si="3">J5*I5</f>
        <v>384.56</v>
      </c>
      <c r="H5" s="40">
        <f t="shared" ref="H5:H13" si="4">J5*(1-I5)</f>
        <v>52.44</v>
      </c>
      <c r="I5" s="39">
        <v>0.88</v>
      </c>
      <c r="J5" s="40">
        <v>437</v>
      </c>
      <c r="K5" s="42">
        <f t="shared" ref="K5:K13" si="5">(C5+G5)/(F5+J5)</f>
        <v>0.88787037037037031</v>
      </c>
      <c r="L5" s="42"/>
      <c r="M5" s="42"/>
      <c r="N5" s="39">
        <v>5028</v>
      </c>
      <c r="O5" s="40">
        <f t="shared" si="0"/>
        <v>777.14015351550461</v>
      </c>
      <c r="P5" s="42">
        <f>O5/F3</f>
        <v>2.1707825517192867</v>
      </c>
      <c r="Q5" s="42"/>
      <c r="R5" s="41">
        <f t="shared" ref="R5:R13" si="6">(D5+H5)/O4</f>
        <v>0.82976142337242165</v>
      </c>
    </row>
    <row r="6" spans="1:18" x14ac:dyDescent="0.25">
      <c r="A6" s="38" t="s">
        <v>24</v>
      </c>
      <c r="B6" s="39">
        <v>2012</v>
      </c>
      <c r="C6" s="40">
        <f t="shared" si="1"/>
        <v>1963.59</v>
      </c>
      <c r="D6" s="40">
        <f t="shared" si="2"/>
        <v>293.41000000000003</v>
      </c>
      <c r="E6" s="42">
        <v>0.87</v>
      </c>
      <c r="F6" s="39">
        <v>2257</v>
      </c>
      <c r="G6" s="40">
        <f t="shared" si="3"/>
        <v>790</v>
      </c>
      <c r="H6" s="40">
        <f t="shared" si="4"/>
        <v>209.99999999999997</v>
      </c>
      <c r="I6" s="39">
        <v>0.79</v>
      </c>
      <c r="J6" s="40">
        <v>1000</v>
      </c>
      <c r="K6" s="42">
        <f t="shared" si="5"/>
        <v>0.84543751918943821</v>
      </c>
      <c r="L6" s="42">
        <f>(D6+H6)/F3</f>
        <v>1.4061731843575418</v>
      </c>
      <c r="M6" s="42"/>
      <c r="N6" s="39">
        <v>5890</v>
      </c>
      <c r="O6" s="40">
        <f>N6*(1-K7)</f>
        <v>2978.4126911314984</v>
      </c>
      <c r="P6" s="42">
        <f t="shared" ref="P6:P9" si="7">O6/F4</f>
        <v>4.5751347021989224</v>
      </c>
      <c r="Q6" s="42"/>
      <c r="R6" s="41">
        <f t="shared" si="6"/>
        <v>0.64777247414478956</v>
      </c>
    </row>
    <row r="7" spans="1:18" x14ac:dyDescent="0.25">
      <c r="A7" s="38" t="s">
        <v>24</v>
      </c>
      <c r="B7" s="39">
        <v>2013</v>
      </c>
      <c r="C7" s="40">
        <f t="shared" si="1"/>
        <v>1248</v>
      </c>
      <c r="D7" s="40">
        <f t="shared" si="2"/>
        <v>1578</v>
      </c>
      <c r="E7" s="42">
        <v>0.44161358811040341</v>
      </c>
      <c r="F7" s="39">
        <v>2826</v>
      </c>
      <c r="G7" s="40">
        <f t="shared" si="3"/>
        <v>691.74</v>
      </c>
      <c r="H7" s="40">
        <f t="shared" si="4"/>
        <v>406.26</v>
      </c>
      <c r="I7" s="39">
        <v>0.63</v>
      </c>
      <c r="J7" s="40">
        <v>1098</v>
      </c>
      <c r="K7" s="42">
        <f t="shared" si="5"/>
        <v>0.49432721712538225</v>
      </c>
      <c r="L7" s="42">
        <f>(D7+H7)/F4</f>
        <v>3.0480184331797235</v>
      </c>
      <c r="M7" s="42"/>
      <c r="N7" s="39">
        <v>2582</v>
      </c>
      <c r="O7" s="40">
        <f t="shared" si="0"/>
        <v>612.57216038300419</v>
      </c>
      <c r="P7" s="42">
        <f t="shared" si="7"/>
        <v>0.37930164729597782</v>
      </c>
      <c r="Q7" s="42"/>
      <c r="R7" s="41">
        <f t="shared" si="6"/>
        <v>0.66621392190152806</v>
      </c>
    </row>
    <row r="8" spans="1:18" x14ac:dyDescent="0.25">
      <c r="A8" s="38" t="s">
        <v>24</v>
      </c>
      <c r="B8" s="39">
        <v>2014</v>
      </c>
      <c r="C8" s="40">
        <f t="shared" si="1"/>
        <v>496.00000000000006</v>
      </c>
      <c r="D8" s="40">
        <f t="shared" si="2"/>
        <v>363.99999999999994</v>
      </c>
      <c r="E8" s="42">
        <v>0.57674418604651168</v>
      </c>
      <c r="F8" s="39">
        <v>860</v>
      </c>
      <c r="G8" s="40">
        <f t="shared" si="3"/>
        <v>778.56</v>
      </c>
      <c r="H8" s="40">
        <f t="shared" si="4"/>
        <v>32.440000000000026</v>
      </c>
      <c r="I8" s="39">
        <v>0.96</v>
      </c>
      <c r="J8" s="40">
        <v>811</v>
      </c>
      <c r="K8" s="42">
        <f t="shared" si="5"/>
        <v>0.76275284260921605</v>
      </c>
      <c r="L8" s="42">
        <f t="shared" ref="L8:L13" si="8">(D8+H8)/F5</f>
        <v>0.24547368421052629</v>
      </c>
      <c r="M8" s="42"/>
      <c r="N8" s="39">
        <v>3594</v>
      </c>
      <c r="O8" s="40">
        <f>N8*(1-K9)</f>
        <v>559.59094478527606</v>
      </c>
      <c r="P8" s="42">
        <f t="shared" si="7"/>
        <v>0.2479357309637909</v>
      </c>
      <c r="Q8" s="42"/>
      <c r="R8" s="41">
        <f t="shared" si="6"/>
        <v>0.64717273431448485</v>
      </c>
    </row>
    <row r="9" spans="1:18" x14ac:dyDescent="0.25">
      <c r="A9" s="38" t="s">
        <v>24</v>
      </c>
      <c r="B9" s="39">
        <v>2015</v>
      </c>
      <c r="C9" s="40">
        <f t="shared" si="1"/>
        <v>1010.07</v>
      </c>
      <c r="D9" s="40">
        <f t="shared" si="2"/>
        <v>236.92999999999992</v>
      </c>
      <c r="E9" s="42">
        <v>0.81</v>
      </c>
      <c r="F9" s="39">
        <v>1247</v>
      </c>
      <c r="G9" s="40">
        <f t="shared" si="3"/>
        <v>1054.24</v>
      </c>
      <c r="H9" s="40">
        <f t="shared" si="4"/>
        <v>143.76</v>
      </c>
      <c r="I9" s="39">
        <v>0.88</v>
      </c>
      <c r="J9" s="40">
        <v>1198</v>
      </c>
      <c r="K9" s="42">
        <f t="shared" si="5"/>
        <v>0.84429856850715745</v>
      </c>
      <c r="L9" s="42">
        <f t="shared" si="8"/>
        <v>0.16867080194949044</v>
      </c>
      <c r="M9" s="42"/>
      <c r="N9" s="39">
        <v>8074</v>
      </c>
      <c r="O9" s="40">
        <f>N9*(1-K10)</f>
        <v>1400.7415374841182</v>
      </c>
      <c r="P9" s="42">
        <f t="shared" si="7"/>
        <v>0.4956622567176639</v>
      </c>
      <c r="Q9" s="42">
        <f>GEOMEAN(P5:P9)</f>
        <v>0.85724701399171455</v>
      </c>
      <c r="R9" s="41">
        <f t="shared" si="6"/>
        <v>0.68030050083472449</v>
      </c>
    </row>
    <row r="10" spans="1:18" x14ac:dyDescent="0.25">
      <c r="A10" s="38" t="s">
        <v>24</v>
      </c>
      <c r="B10" s="39">
        <v>2016</v>
      </c>
      <c r="C10" s="40">
        <f t="shared" si="1"/>
        <v>2564.87</v>
      </c>
      <c r="D10" s="40">
        <f t="shared" si="2"/>
        <v>766.13</v>
      </c>
      <c r="E10" s="42">
        <v>0.77</v>
      </c>
      <c r="F10" s="39">
        <v>3331</v>
      </c>
      <c r="G10" s="40">
        <f t="shared" si="3"/>
        <v>2638.85</v>
      </c>
      <c r="H10" s="40">
        <f t="shared" si="4"/>
        <v>326.14999999999998</v>
      </c>
      <c r="I10" s="39">
        <v>0.89</v>
      </c>
      <c r="J10" s="40">
        <v>2965</v>
      </c>
      <c r="K10" s="42">
        <f t="shared" si="5"/>
        <v>0.82651207115628955</v>
      </c>
      <c r="L10" s="42">
        <f>(D10+H10)/F7</f>
        <v>0.38651096956829439</v>
      </c>
      <c r="M10" s="42">
        <f>GEOMEAN(L6:L10)</f>
        <v>0.58513033664792846</v>
      </c>
      <c r="N10" s="39">
        <v>9586</v>
      </c>
      <c r="O10" s="40">
        <f t="shared" si="0"/>
        <v>945.58173289635363</v>
      </c>
      <c r="P10" s="42">
        <f>O10/F8</f>
        <v>1.0995136429027368</v>
      </c>
      <c r="Q10" s="42">
        <f>GEOMEAN(P6:P10)</f>
        <v>0.74820885046060803</v>
      </c>
      <c r="R10" s="41">
        <f t="shared" si="6"/>
        <v>0.77978697052266455</v>
      </c>
    </row>
    <row r="11" spans="1:18" x14ac:dyDescent="0.25">
      <c r="A11" s="38" t="s">
        <v>24</v>
      </c>
      <c r="B11" s="39">
        <v>2017</v>
      </c>
      <c r="C11" s="40">
        <f t="shared" si="1"/>
        <v>2767.47</v>
      </c>
      <c r="D11" s="40">
        <f t="shared" si="2"/>
        <v>413.53000000000003</v>
      </c>
      <c r="E11" s="42">
        <v>0.87</v>
      </c>
      <c r="F11" s="39">
        <v>3181</v>
      </c>
      <c r="G11" s="40">
        <f t="shared" si="3"/>
        <v>1632.96</v>
      </c>
      <c r="H11" s="40">
        <f t="shared" si="4"/>
        <v>68.040000000000063</v>
      </c>
      <c r="I11" s="39">
        <v>0.96</v>
      </c>
      <c r="J11" s="40">
        <v>1701</v>
      </c>
      <c r="K11" s="42">
        <f t="shared" si="5"/>
        <v>0.90135804997951663</v>
      </c>
      <c r="L11" s="42">
        <f>(D11+H11)/F8</f>
        <v>0.55996511627906986</v>
      </c>
      <c r="M11" s="42">
        <f t="shared" ref="M11:M13" si="9">GEOMEAN(L7:L11)</f>
        <v>0.48671759605654136</v>
      </c>
      <c r="N11" s="39">
        <v>3161</v>
      </c>
      <c r="O11" s="40">
        <f t="shared" si="0"/>
        <v>1701.6154632229086</v>
      </c>
      <c r="P11" s="42">
        <f>O11/F9</f>
        <v>1.3645673321755483</v>
      </c>
      <c r="Q11" s="42">
        <f t="shared" ref="Q11" si="10">GEOMEAN(P7:P11)</f>
        <v>0.58740962458605217</v>
      </c>
      <c r="R11" s="41">
        <f t="shared" si="6"/>
        <v>0.50928437304402285</v>
      </c>
    </row>
    <row r="12" spans="1:18" x14ac:dyDescent="0.25">
      <c r="A12" s="38" t="s">
        <v>24</v>
      </c>
      <c r="B12" s="39">
        <v>2018</v>
      </c>
      <c r="C12" s="40">
        <f t="shared" si="1"/>
        <v>298.52000000000004</v>
      </c>
      <c r="D12" s="40">
        <f t="shared" si="2"/>
        <v>579.4799999999999</v>
      </c>
      <c r="E12" s="42">
        <v>0.34</v>
      </c>
      <c r="F12" s="39">
        <v>878</v>
      </c>
      <c r="G12" s="40">
        <f t="shared" si="3"/>
        <v>523.74</v>
      </c>
      <c r="H12" s="40">
        <f t="shared" si="4"/>
        <v>379.26000000000005</v>
      </c>
      <c r="I12" s="39">
        <v>0.57999999999999996</v>
      </c>
      <c r="J12" s="40">
        <v>903</v>
      </c>
      <c r="K12" s="42">
        <f t="shared" si="5"/>
        <v>0.46168444693992139</v>
      </c>
      <c r="L12" s="42">
        <f t="shared" si="8"/>
        <v>0.76883720930232557</v>
      </c>
      <c r="M12" s="42">
        <f t="shared" si="9"/>
        <v>0.36952209227258481</v>
      </c>
      <c r="N12" s="39">
        <v>7395</v>
      </c>
      <c r="O12" s="40">
        <f>N12*(1-K13)</f>
        <v>4967.6575676526118</v>
      </c>
      <c r="P12" s="42">
        <f>O12/F10</f>
        <v>1.4913412091421832</v>
      </c>
      <c r="Q12" s="42">
        <f>GEOMEAN(P8:P12)</f>
        <v>0.77243068164116135</v>
      </c>
      <c r="R12" s="41">
        <f t="shared" si="6"/>
        <v>0.56342929452704837</v>
      </c>
    </row>
    <row r="13" spans="1:18" ht="15.75" thickBot="1" x14ac:dyDescent="0.3">
      <c r="A13" s="48" t="s">
        <v>24</v>
      </c>
      <c r="B13" s="49">
        <v>2019</v>
      </c>
      <c r="C13" s="50">
        <f t="shared" si="1"/>
        <v>530.64</v>
      </c>
      <c r="D13" s="50">
        <f t="shared" si="2"/>
        <v>1680.3600000000001</v>
      </c>
      <c r="E13" s="51">
        <v>0.24</v>
      </c>
      <c r="F13" s="49">
        <v>2211</v>
      </c>
      <c r="G13" s="50">
        <f t="shared" si="3"/>
        <v>512.51</v>
      </c>
      <c r="H13" s="50">
        <f t="shared" si="4"/>
        <v>454.48999999999995</v>
      </c>
      <c r="I13" s="49">
        <v>0.53</v>
      </c>
      <c r="J13" s="49">
        <v>967</v>
      </c>
      <c r="K13" s="51">
        <f t="shared" si="5"/>
        <v>0.32824103209565769</v>
      </c>
      <c r="L13" s="52">
        <f t="shared" si="8"/>
        <v>0.64090363254277993</v>
      </c>
      <c r="M13" s="51">
        <f t="shared" si="9"/>
        <v>0.4477112080846985</v>
      </c>
      <c r="N13" s="49">
        <v>1313</v>
      </c>
      <c r="O13" s="49"/>
      <c r="P13" s="50"/>
      <c r="Q13" s="50"/>
      <c r="R13" s="53">
        <f t="shared" si="6"/>
        <v>0.42974983096686947</v>
      </c>
    </row>
    <row r="14" spans="1:18" ht="15.75" thickBot="1" x14ac:dyDescent="0.3">
      <c r="A14" s="157" t="s">
        <v>15</v>
      </c>
      <c r="B14" s="158"/>
      <c r="C14" s="44">
        <f t="shared" ref="C14:E14" si="11">GEOMEAN(C4:C13)</f>
        <v>1000.7505483152937</v>
      </c>
      <c r="D14" s="44">
        <f t="shared" si="11"/>
        <v>446.28495941109674</v>
      </c>
      <c r="E14" s="45">
        <f t="shared" si="11"/>
        <v>0.60718560524900944</v>
      </c>
      <c r="F14" s="44">
        <f>GEOMEAN(F4:F13)</f>
        <v>1648.1789747055705</v>
      </c>
      <c r="G14" s="44">
        <f>GEOMEAN(G4:G13)</f>
        <v>685.79670681163748</v>
      </c>
      <c r="H14" s="44">
        <f t="shared" ref="H14:K14" si="12">GEOMEAN(H4:H13)</f>
        <v>137.6771972372434</v>
      </c>
      <c r="I14" s="45">
        <f t="shared" si="12"/>
        <v>0.77360566475299786</v>
      </c>
      <c r="J14" s="44">
        <f t="shared" si="12"/>
        <v>886.49390517403117</v>
      </c>
      <c r="K14" s="45">
        <f t="shared" si="12"/>
        <v>0.6798488256501749</v>
      </c>
      <c r="L14" s="45">
        <f t="shared" ref="L14:R14" si="13">GEOMEAN(L3:L13)</f>
        <v>0.6090197783824346</v>
      </c>
      <c r="M14" s="44"/>
      <c r="N14" s="44">
        <f t="shared" si="13"/>
        <v>3631.0317954331285</v>
      </c>
      <c r="O14" s="44">
        <f t="shared" si="13"/>
        <v>929.52829347638124</v>
      </c>
      <c r="P14" s="46">
        <f t="shared" si="13"/>
        <v>1.0044141319367275</v>
      </c>
      <c r="Q14" s="44"/>
      <c r="R14" s="47">
        <f t="shared" si="13"/>
        <v>0.65010756698733896</v>
      </c>
    </row>
  </sheetData>
  <sheetProtection sheet="1" objects="1" scenarios="1"/>
  <mergeCells count="2">
    <mergeCell ref="A1:R1"/>
    <mergeCell ref="A14:B14"/>
  </mergeCell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BE55-CF9C-447C-9FA5-1AC001E6347C}">
  <sheetPr codeName="Sheet9"/>
  <dimension ref="A1:T37"/>
  <sheetViews>
    <sheetView zoomScale="110" zoomScaleNormal="110" workbookViewId="0">
      <selection sqref="A1:D1"/>
    </sheetView>
  </sheetViews>
  <sheetFormatPr defaultRowHeight="15" x14ac:dyDescent="0.25"/>
  <cols>
    <col min="1" max="1" width="10.85546875" style="1" customWidth="1"/>
    <col min="2" max="3" width="18.28515625" style="1" customWidth="1"/>
    <col min="4" max="4" width="14.140625" style="1" customWidth="1"/>
    <col min="5" max="5" width="2.85546875" style="1" customWidth="1"/>
    <col min="6" max="6" width="11" style="1" customWidth="1"/>
    <col min="7" max="7" width="15.28515625" style="1" bestFit="1" customWidth="1"/>
    <col min="8" max="8" width="9.140625" style="1"/>
    <col min="9" max="9" width="17.140625" style="1" customWidth="1"/>
    <col min="10" max="10" width="13.42578125" style="1" customWidth="1"/>
    <col min="11" max="11" width="14.140625" style="1" customWidth="1"/>
    <col min="12" max="12" width="13.42578125" style="1" customWidth="1"/>
    <col min="13" max="13" width="9.7109375" style="1" customWidth="1"/>
    <col min="14" max="14" width="19.5703125" style="1" customWidth="1"/>
    <col min="15" max="16" width="13" style="1" customWidth="1"/>
    <col min="17" max="17" width="14.140625" style="1" customWidth="1"/>
    <col min="18" max="18" width="12.28515625" style="1" customWidth="1"/>
    <col min="19" max="19" width="10.85546875" style="1" customWidth="1"/>
    <col min="20" max="20" width="16.85546875" style="1" customWidth="1"/>
    <col min="21" max="16384" width="9.140625" style="1"/>
  </cols>
  <sheetData>
    <row r="1" spans="1:20" ht="64.5" customHeight="1" thickBot="1" x14ac:dyDescent="0.3">
      <c r="A1" s="136" t="s">
        <v>25</v>
      </c>
      <c r="B1" s="137"/>
      <c r="C1" s="137"/>
      <c r="D1" s="138"/>
      <c r="G1" s="2"/>
      <c r="I1" s="139" t="s">
        <v>26</v>
      </c>
      <c r="J1" s="139"/>
      <c r="K1" s="139"/>
      <c r="L1" s="139"/>
      <c r="M1" s="139"/>
      <c r="N1" s="139"/>
      <c r="O1" s="139"/>
      <c r="P1" s="139"/>
      <c r="Q1" s="139"/>
      <c r="R1" s="139"/>
      <c r="S1" s="139"/>
    </row>
    <row r="2" spans="1:20" ht="105.75" customHeight="1" thickBot="1" x14ac:dyDescent="0.3">
      <c r="A2" s="55"/>
      <c r="B2" s="56" t="s">
        <v>27</v>
      </c>
      <c r="C2" s="3">
        <v>1.4999999999999999E-2</v>
      </c>
      <c r="D2" s="57"/>
      <c r="E2"/>
      <c r="F2" s="136" t="s">
        <v>28</v>
      </c>
      <c r="G2" s="138"/>
      <c r="I2" s="70" t="s">
        <v>1</v>
      </c>
      <c r="J2" s="71" t="s">
        <v>29</v>
      </c>
      <c r="K2" s="71" t="s">
        <v>30</v>
      </c>
      <c r="L2" s="71" t="s">
        <v>31</v>
      </c>
      <c r="M2" s="72" t="s">
        <v>32</v>
      </c>
      <c r="N2" s="73" t="s">
        <v>33</v>
      </c>
      <c r="O2" s="71" t="s">
        <v>34</v>
      </c>
      <c r="P2" s="71" t="s">
        <v>35</v>
      </c>
      <c r="Q2" s="72" t="s">
        <v>36</v>
      </c>
      <c r="R2" s="72" t="s">
        <v>37</v>
      </c>
      <c r="S2" s="74" t="s">
        <v>38</v>
      </c>
      <c r="T2" s="4"/>
    </row>
    <row r="3" spans="1:20" ht="15.75" customHeight="1" thickBot="1" x14ac:dyDescent="0.3">
      <c r="A3" s="140" t="s">
        <v>1</v>
      </c>
      <c r="B3" s="143" t="s">
        <v>39</v>
      </c>
      <c r="C3" s="143" t="s">
        <v>40</v>
      </c>
      <c r="D3" s="146" t="s">
        <v>41</v>
      </c>
      <c r="E3" s="5"/>
      <c r="F3" s="149" t="s">
        <v>42</v>
      </c>
      <c r="G3" s="152" t="s">
        <v>43</v>
      </c>
      <c r="I3" s="131" t="s">
        <v>14</v>
      </c>
      <c r="J3" s="75">
        <v>0</v>
      </c>
      <c r="K3" s="76">
        <f>J3*3</f>
        <v>0</v>
      </c>
      <c r="L3" s="77">
        <v>692</v>
      </c>
      <c r="M3" s="6">
        <f t="shared" ref="M3:M16" si="0">N$3/L3</f>
        <v>0.50722543352601157</v>
      </c>
      <c r="N3" s="83">
        <v>351</v>
      </c>
      <c r="O3" s="84">
        <v>5615</v>
      </c>
      <c r="P3" s="84">
        <v>0.54</v>
      </c>
      <c r="Q3" s="85">
        <f>C2</f>
        <v>1.4999999999999999E-2</v>
      </c>
      <c r="R3" s="85">
        <v>5.3999999999999999E-2</v>
      </c>
      <c r="S3" s="86">
        <v>0.6</v>
      </c>
    </row>
    <row r="4" spans="1:20" ht="15" customHeight="1" x14ac:dyDescent="0.25">
      <c r="A4" s="141"/>
      <c r="B4" s="144"/>
      <c r="C4" s="144"/>
      <c r="D4" s="147"/>
      <c r="F4" s="150"/>
      <c r="G4" s="153"/>
      <c r="I4" s="131"/>
      <c r="J4" s="39">
        <v>1</v>
      </c>
      <c r="K4" s="78">
        <f t="shared" ref="K4:K16" si="1">J4*3</f>
        <v>3</v>
      </c>
      <c r="L4" s="79">
        <f>L3*P$3*O$3*Q$3*R$3*S$3+N$3</f>
        <v>1370.7316151999999</v>
      </c>
      <c r="M4" s="7">
        <f t="shared" si="0"/>
        <v>0.25606763286683698</v>
      </c>
      <c r="N4" s="8"/>
      <c r="O4" s="9"/>
      <c r="P4" s="9"/>
      <c r="Q4" s="10"/>
      <c r="R4" s="10"/>
      <c r="S4" s="10"/>
    </row>
    <row r="5" spans="1:20" x14ac:dyDescent="0.25">
      <c r="A5" s="141"/>
      <c r="B5" s="144"/>
      <c r="C5" s="144"/>
      <c r="D5" s="147"/>
      <c r="F5" s="150"/>
      <c r="G5" s="153"/>
      <c r="I5" s="131"/>
      <c r="J5" s="39">
        <v>2</v>
      </c>
      <c r="K5" s="78">
        <f t="shared" si="1"/>
        <v>6</v>
      </c>
      <c r="L5" s="80">
        <f>L4*P$3*O$3*Q$3*R$3*S$3+N$3</f>
        <v>2370.9109305976885</v>
      </c>
      <c r="M5" s="7">
        <f t="shared" si="0"/>
        <v>0.14804436365372678</v>
      </c>
      <c r="N5" s="11"/>
      <c r="O5" s="12"/>
      <c r="P5" s="12"/>
      <c r="Q5" s="13"/>
      <c r="R5" s="13"/>
      <c r="S5" s="13"/>
    </row>
    <row r="6" spans="1:20" ht="15.75" thickBot="1" x14ac:dyDescent="0.3">
      <c r="A6" s="142"/>
      <c r="B6" s="145"/>
      <c r="C6" s="145"/>
      <c r="D6" s="148"/>
      <c r="F6" s="151"/>
      <c r="G6" s="154"/>
      <c r="I6" s="131"/>
      <c r="J6" s="39">
        <v>3</v>
      </c>
      <c r="K6" s="78">
        <f t="shared" si="1"/>
        <v>9</v>
      </c>
      <c r="L6" s="80">
        <f t="shared" ref="L6:L16" si="2">L5*P$3*O$3*Q$3*R$3*S$3+N$3</f>
        <v>3844.7757698753117</v>
      </c>
      <c r="M6" s="7">
        <f>N$3/L6</f>
        <v>9.1292710162752394E-2</v>
      </c>
      <c r="N6" s="11"/>
      <c r="O6" s="12"/>
      <c r="P6" s="12"/>
      <c r="Q6" s="13"/>
      <c r="R6" s="13"/>
      <c r="S6" s="13"/>
    </row>
    <row r="7" spans="1:20" x14ac:dyDescent="0.25">
      <c r="A7" s="58" t="s">
        <v>14</v>
      </c>
      <c r="B7" s="59">
        <v>38000</v>
      </c>
      <c r="C7" s="59">
        <f>ROUND(B7/R3/O3/P3/C2, -2)</f>
        <v>15500</v>
      </c>
      <c r="D7" s="60">
        <f>$C$2*O3*P3*R3*S3</f>
        <v>1.4736005999999997</v>
      </c>
      <c r="E7" s="14"/>
      <c r="F7" s="15">
        <f>ROUND(B7/R3,-4)</f>
        <v>700000</v>
      </c>
      <c r="G7" s="67">
        <f>ROUND(F7/C2*0.1,-5)</f>
        <v>4700000</v>
      </c>
      <c r="I7" s="131"/>
      <c r="J7" s="39">
        <v>4</v>
      </c>
      <c r="K7" s="78">
        <f t="shared" si="1"/>
        <v>12</v>
      </c>
      <c r="L7" s="80">
        <f t="shared" si="2"/>
        <v>6016.6638813537211</v>
      </c>
      <c r="M7" s="7">
        <f t="shared" si="0"/>
        <v>5.8337977145073071E-2</v>
      </c>
      <c r="N7" s="11"/>
      <c r="O7" s="12"/>
      <c r="P7" s="12"/>
      <c r="Q7" s="13"/>
      <c r="R7" s="13"/>
      <c r="S7" s="13"/>
    </row>
    <row r="8" spans="1:20" x14ac:dyDescent="0.25">
      <c r="A8" s="38" t="s">
        <v>17</v>
      </c>
      <c r="B8" s="61">
        <v>22000</v>
      </c>
      <c r="C8" s="61">
        <f>ROUND(B8/R19/O19/P19/C2,-2)</f>
        <v>7800</v>
      </c>
      <c r="D8" s="62">
        <f>C2*O19*P19*R19*S19</f>
        <v>1.6950707999999999</v>
      </c>
      <c r="E8" s="14"/>
      <c r="F8" s="16">
        <f>ROUND(B8/R19,-4)</f>
        <v>410000</v>
      </c>
      <c r="G8" s="68">
        <f>ROUND(F8/C2*0.1,-5)</f>
        <v>2700000</v>
      </c>
      <c r="I8" s="131"/>
      <c r="J8" s="39">
        <v>5</v>
      </c>
      <c r="K8" s="78">
        <f t="shared" si="1"/>
        <v>15</v>
      </c>
      <c r="L8" s="80">
        <f t="shared" si="2"/>
        <v>9217.1595055611706</v>
      </c>
      <c r="M8" s="7">
        <f t="shared" si="0"/>
        <v>3.8081146343211726E-2</v>
      </c>
      <c r="N8" s="11"/>
      <c r="O8" s="12"/>
      <c r="P8" s="12"/>
      <c r="Q8" s="13"/>
      <c r="R8" s="13"/>
      <c r="S8" s="13"/>
    </row>
    <row r="9" spans="1:20" ht="15.75" thickBot="1" x14ac:dyDescent="0.3">
      <c r="A9" s="48" t="s">
        <v>24</v>
      </c>
      <c r="B9" s="63">
        <v>18000</v>
      </c>
      <c r="C9" s="63">
        <f>ROUND(B9/R29/O29/P29/C2, -2)</f>
        <v>7300</v>
      </c>
      <c r="D9" s="64">
        <f>C2*O29*P29*R29*S29</f>
        <v>1.6098264</v>
      </c>
      <c r="E9" s="17"/>
      <c r="F9" s="18">
        <f>ROUND(B9/R29,-4)</f>
        <v>330000</v>
      </c>
      <c r="G9" s="69">
        <f>ROUND(F9/C2*0.1,-5)</f>
        <v>2200000</v>
      </c>
      <c r="I9" s="131"/>
      <c r="J9" s="39">
        <v>6</v>
      </c>
      <c r="K9" s="78">
        <f t="shared" si="1"/>
        <v>18</v>
      </c>
      <c r="L9" s="80">
        <f t="shared" si="2"/>
        <v>13933.411777690642</v>
      </c>
      <c r="M9" s="7">
        <f t="shared" si="0"/>
        <v>2.5191245733654447E-2</v>
      </c>
      <c r="N9" s="11"/>
      <c r="O9" s="12"/>
      <c r="P9" s="12"/>
      <c r="Q9" s="13"/>
      <c r="R9" s="13"/>
      <c r="S9" s="13"/>
    </row>
    <row r="10" spans="1:20" x14ac:dyDescent="0.25">
      <c r="A10" t="s">
        <v>44</v>
      </c>
      <c r="B10"/>
      <c r="C10" s="65"/>
      <c r="D10" s="66"/>
      <c r="E10" s="19"/>
      <c r="F10" s="19"/>
      <c r="I10" s="131"/>
      <c r="J10" s="39">
        <v>7</v>
      </c>
      <c r="K10" s="78">
        <f t="shared" si="1"/>
        <v>21</v>
      </c>
      <c r="L10" s="80">
        <f>L9*P$3*O$3*Q$3*R$3*S$3+N$3</f>
        <v>20883.283955651998</v>
      </c>
      <c r="M10" s="7">
        <f t="shared" si="0"/>
        <v>1.6807701353167826E-2</v>
      </c>
      <c r="N10" s="11"/>
      <c r="O10" s="12"/>
      <c r="P10" s="12"/>
      <c r="Q10" s="13"/>
      <c r="R10" s="13"/>
      <c r="S10" s="13"/>
    </row>
    <row r="11" spans="1:20" ht="15" customHeight="1" x14ac:dyDescent="0.25">
      <c r="A11" s="129" t="s">
        <v>45</v>
      </c>
      <c r="B11" s="129"/>
      <c r="C11" s="129"/>
      <c r="D11" s="129"/>
      <c r="E11" s="19"/>
      <c r="I11" s="131"/>
      <c r="J11" s="39">
        <v>8</v>
      </c>
      <c r="K11" s="78">
        <f t="shared" si="1"/>
        <v>24</v>
      </c>
      <c r="L11" s="80">
        <f t="shared" si="2"/>
        <v>31124.619767019154</v>
      </c>
      <c r="M11" s="7">
        <f t="shared" si="0"/>
        <v>1.1277246200190792E-2</v>
      </c>
      <c r="N11" s="11"/>
      <c r="O11" s="12"/>
      <c r="P11" s="12"/>
      <c r="Q11" s="13"/>
      <c r="R11" s="13"/>
      <c r="S11" s="13"/>
    </row>
    <row r="12" spans="1:20" x14ac:dyDescent="0.25">
      <c r="A12" s="129"/>
      <c r="B12" s="129"/>
      <c r="C12" s="129"/>
      <c r="D12" s="129"/>
      <c r="E12" s="19"/>
      <c r="I12" s="131"/>
      <c r="J12" s="39">
        <v>9</v>
      </c>
      <c r="K12" s="78">
        <f t="shared" si="1"/>
        <v>27</v>
      </c>
      <c r="L12" s="80">
        <f t="shared" si="2"/>
        <v>46216.258363451278</v>
      </c>
      <c r="M12" s="7">
        <f t="shared" si="0"/>
        <v>7.5947299160327025E-3</v>
      </c>
      <c r="N12" s="11"/>
      <c r="O12" s="12"/>
      <c r="P12" s="12"/>
      <c r="Q12" s="13"/>
      <c r="R12" s="13"/>
      <c r="S12" s="13"/>
    </row>
    <row r="13" spans="1:20" x14ac:dyDescent="0.25">
      <c r="A13" s="129"/>
      <c r="B13" s="129"/>
      <c r="C13" s="129"/>
      <c r="D13" s="129"/>
      <c r="E13" s="19"/>
      <c r="I13" s="131"/>
      <c r="J13" s="39">
        <v>10</v>
      </c>
      <c r="K13" s="78">
        <f t="shared" si="1"/>
        <v>30</v>
      </c>
      <c r="L13" s="80">
        <f t="shared" si="2"/>
        <v>68455.306054136818</v>
      </c>
      <c r="M13" s="7">
        <f t="shared" si="0"/>
        <v>5.1274330688466591E-3</v>
      </c>
      <c r="N13" s="11"/>
      <c r="O13" s="12"/>
      <c r="P13" s="12"/>
      <c r="Q13" s="13"/>
      <c r="R13" s="13"/>
      <c r="S13" s="13"/>
    </row>
    <row r="14" spans="1:20" x14ac:dyDescent="0.25">
      <c r="A14" s="33"/>
      <c r="B14" s="33"/>
      <c r="C14" s="19"/>
      <c r="D14" s="33"/>
      <c r="E14" s="19"/>
      <c r="F14" s="19"/>
      <c r="I14" s="131"/>
      <c r="J14" s="39">
        <v>11</v>
      </c>
      <c r="K14" s="78">
        <f t="shared" si="1"/>
        <v>33</v>
      </c>
      <c r="L14" s="80">
        <f t="shared" si="2"/>
        <v>101226.78007455966</v>
      </c>
      <c r="M14" s="7">
        <f t="shared" si="0"/>
        <v>3.4674618687018121E-3</v>
      </c>
      <c r="N14" s="11"/>
      <c r="O14" s="12"/>
      <c r="P14" s="12"/>
      <c r="Q14" s="21"/>
      <c r="R14" s="21"/>
      <c r="S14" s="13"/>
    </row>
    <row r="15" spans="1:20" x14ac:dyDescent="0.25">
      <c r="A15" s="33"/>
      <c r="B15" s="33"/>
      <c r="C15" s="33"/>
      <c r="D15" s="33"/>
      <c r="E15" s="19"/>
      <c r="F15" s="34"/>
      <c r="I15" s="131"/>
      <c r="J15" s="39">
        <v>12</v>
      </c>
      <c r="K15" s="78">
        <f t="shared" si="1"/>
        <v>36</v>
      </c>
      <c r="L15" s="80">
        <f t="shared" si="2"/>
        <v>149518.84385393915</v>
      </c>
      <c r="M15" s="7">
        <f t="shared" si="0"/>
        <v>2.3475301905282403E-3</v>
      </c>
      <c r="N15" s="11"/>
      <c r="O15" s="12"/>
      <c r="P15" s="12"/>
      <c r="Q15" s="21"/>
      <c r="R15" s="21"/>
      <c r="S15" s="13"/>
    </row>
    <row r="16" spans="1:20" ht="15.75" thickBot="1" x14ac:dyDescent="0.3">
      <c r="E16" s="19"/>
      <c r="F16" s="19"/>
      <c r="G16" s="32"/>
      <c r="I16" s="132"/>
      <c r="J16" s="49">
        <v>13</v>
      </c>
      <c r="K16" s="81">
        <f t="shared" si="1"/>
        <v>39</v>
      </c>
      <c r="L16" s="82">
        <f t="shared" si="2"/>
        <v>220682.05801447103</v>
      </c>
      <c r="M16" s="22">
        <f t="shared" si="0"/>
        <v>1.5905235031702645E-3</v>
      </c>
      <c r="N16" s="11"/>
      <c r="O16" s="12"/>
      <c r="P16" s="12"/>
      <c r="Q16" s="21"/>
      <c r="R16" s="21"/>
      <c r="S16" s="13"/>
    </row>
    <row r="17" spans="1:19" ht="15.75" thickBot="1" x14ac:dyDescent="0.3">
      <c r="A17" t="s">
        <v>46</v>
      </c>
      <c r="B17"/>
      <c r="C17" s="65"/>
      <c r="D17" s="66"/>
      <c r="E17" s="19"/>
      <c r="F17" s="19"/>
      <c r="G17" s="20"/>
    </row>
    <row r="18" spans="1:19" ht="90.75" thickBot="1" x14ac:dyDescent="0.3">
      <c r="A18" s="91" t="s">
        <v>47</v>
      </c>
      <c r="B18" s="92" t="s">
        <v>48</v>
      </c>
      <c r="C18" s="93" t="s">
        <v>49</v>
      </c>
      <c r="D18" s="94" t="s">
        <v>50</v>
      </c>
      <c r="E18" s="19"/>
      <c r="F18" s="19"/>
      <c r="G18" s="20"/>
      <c r="I18" s="87" t="s">
        <v>1</v>
      </c>
      <c r="J18" s="71" t="s">
        <v>29</v>
      </c>
      <c r="K18" s="71" t="s">
        <v>30</v>
      </c>
      <c r="L18" s="71" t="s">
        <v>31</v>
      </c>
      <c r="M18" s="72" t="s">
        <v>32</v>
      </c>
      <c r="N18" s="73" t="s">
        <v>33</v>
      </c>
      <c r="O18" s="71" t="s">
        <v>51</v>
      </c>
      <c r="P18" s="71" t="s">
        <v>52</v>
      </c>
      <c r="Q18" s="72" t="s">
        <v>36</v>
      </c>
      <c r="R18" s="72" t="s">
        <v>53</v>
      </c>
      <c r="S18" s="74" t="s">
        <v>38</v>
      </c>
    </row>
    <row r="19" spans="1:19" ht="15.75" thickBot="1" x14ac:dyDescent="0.3">
      <c r="A19" s="58" t="s">
        <v>54</v>
      </c>
      <c r="B19" s="59">
        <f>SUM(N3,N19,N29)</f>
        <v>3342</v>
      </c>
      <c r="C19" s="95">
        <f>SUM(N3,N19,N29)</f>
        <v>3342</v>
      </c>
      <c r="D19" s="67">
        <f>SUM(N3,N19,N29)</f>
        <v>3342</v>
      </c>
      <c r="E19" s="19"/>
      <c r="F19" s="19"/>
      <c r="G19" s="20"/>
      <c r="I19" s="130" t="s">
        <v>17</v>
      </c>
      <c r="J19" s="88">
        <v>0</v>
      </c>
      <c r="K19" s="89">
        <f t="shared" ref="K19:K26" si="3">J19*3</f>
        <v>0</v>
      </c>
      <c r="L19" s="77">
        <v>2789</v>
      </c>
      <c r="M19" s="23">
        <f>1989/L19</f>
        <v>0.71315883829329507</v>
      </c>
      <c r="N19" s="83">
        <v>1990</v>
      </c>
      <c r="O19" s="84">
        <v>5813</v>
      </c>
      <c r="P19" s="84">
        <v>0.6</v>
      </c>
      <c r="Q19" s="85">
        <f>C2</f>
        <v>1.4999999999999999E-2</v>
      </c>
      <c r="R19" s="85">
        <v>5.3999999999999999E-2</v>
      </c>
      <c r="S19" s="86">
        <v>0.6</v>
      </c>
    </row>
    <row r="20" spans="1:19" ht="15.75" thickBot="1" x14ac:dyDescent="0.3">
      <c r="A20" s="48" t="s">
        <v>55</v>
      </c>
      <c r="B20" s="63">
        <f>SUM((L3-N3),(L19-N19),(L29-N29))</f>
        <v>1787</v>
      </c>
      <c r="C20" s="63">
        <f>SUM(IF(L7&gt;C7,C7,L7),IF(L23&gt;C8,C8,L23),IF(L33&gt;C9,C9,L33))-C19</f>
        <v>17774.663881353721</v>
      </c>
      <c r="D20" s="69">
        <f>SUM(IF(L10&gt;C7,C7,L10),IF(L26&gt;C8,C8,L26),IF(L36&gt;C9,C9,L36))-D19</f>
        <v>27258</v>
      </c>
      <c r="E20" s="19"/>
      <c r="F20" s="19"/>
      <c r="G20" s="20"/>
      <c r="I20" s="131"/>
      <c r="J20" s="39">
        <v>1</v>
      </c>
      <c r="K20" s="78">
        <f>J20*3</f>
        <v>3</v>
      </c>
      <c r="L20" s="79">
        <f>L19*P$19*O$19*Q$19*R$19*S$19+N$19</f>
        <v>6717.552461199999</v>
      </c>
      <c r="M20" s="7">
        <f>1989/L20</f>
        <v>0.29608998388747859</v>
      </c>
      <c r="N20" s="24"/>
      <c r="O20" s="9"/>
      <c r="P20" s="9"/>
      <c r="Q20" s="10"/>
      <c r="R20" s="10"/>
      <c r="S20" s="10"/>
    </row>
    <row r="21" spans="1:19" ht="15.75" thickBot="1" x14ac:dyDescent="0.3">
      <c r="A21" s="96"/>
      <c r="B21" s="97"/>
      <c r="C21" s="97"/>
      <c r="D21" s="98"/>
      <c r="E21" s="19"/>
      <c r="F21" s="19"/>
      <c r="G21" s="20"/>
      <c r="I21" s="131"/>
      <c r="J21" s="39">
        <v>2</v>
      </c>
      <c r="K21" s="78">
        <f t="shared" si="3"/>
        <v>6</v>
      </c>
      <c r="L21" s="80">
        <f>L20*P$19*O$19*Q$19*R$19*S$19+N$19</f>
        <v>13376.72702444825</v>
      </c>
      <c r="M21" s="7">
        <f>1989/L21</f>
        <v>0.14869108088733241</v>
      </c>
      <c r="N21" s="11"/>
      <c r="O21" s="12"/>
      <c r="P21" s="12"/>
      <c r="Q21" s="13"/>
      <c r="R21" s="13"/>
      <c r="S21" s="13"/>
    </row>
    <row r="22" spans="1:19" ht="15.75" thickBot="1" x14ac:dyDescent="0.3">
      <c r="A22" s="99" t="s">
        <v>32</v>
      </c>
      <c r="B22" s="100">
        <f>B19/(B19+B20)</f>
        <v>0.65158900370442585</v>
      </c>
      <c r="C22" s="100">
        <f>C19/(C19+C20)</f>
        <v>0.1582636357133585</v>
      </c>
      <c r="D22" s="101">
        <f>D19/(D19+D20)</f>
        <v>0.10921568627450981</v>
      </c>
      <c r="I22" s="131"/>
      <c r="J22" s="39">
        <v>3</v>
      </c>
      <c r="K22" s="78">
        <f t="shared" si="3"/>
        <v>9</v>
      </c>
      <c r="L22" s="80">
        <f t="shared" ref="L22:L26" si="4">L21*P$19*O$19*Q$19*R$19*S$19+N$19</f>
        <v>24664.499378713113</v>
      </c>
      <c r="M22" s="7">
        <f>1989/L22</f>
        <v>8.0642220604591794E-2</v>
      </c>
      <c r="N22" s="11"/>
      <c r="O22" s="12"/>
      <c r="P22" s="12"/>
      <c r="Q22" s="13"/>
      <c r="R22" s="13"/>
      <c r="S22" s="13"/>
    </row>
    <row r="23" spans="1:19" x14ac:dyDescent="0.25">
      <c r="I23" s="131"/>
      <c r="J23" s="39">
        <v>4</v>
      </c>
      <c r="K23" s="78">
        <f t="shared" si="3"/>
        <v>12</v>
      </c>
      <c r="L23" s="80">
        <f t="shared" si="4"/>
        <v>43798.072693474736</v>
      </c>
      <c r="M23" s="7">
        <f>1989/L23</f>
        <v>4.5412957184673829E-2</v>
      </c>
      <c r="N23" s="11"/>
      <c r="O23" s="12"/>
      <c r="P23" s="12"/>
      <c r="Q23" s="13"/>
      <c r="R23" s="13"/>
      <c r="S23" s="13"/>
    </row>
    <row r="24" spans="1:19" x14ac:dyDescent="0.25">
      <c r="I24" s="131"/>
      <c r="J24" s="39">
        <v>5</v>
      </c>
      <c r="K24" s="78">
        <f t="shared" si="3"/>
        <v>15</v>
      </c>
      <c r="L24" s="80">
        <f t="shared" si="4"/>
        <v>76230.834118986371</v>
      </c>
      <c r="M24" s="7">
        <f t="shared" ref="M24:M26" si="5">1989/L24</f>
        <v>2.6091804228397013E-2</v>
      </c>
      <c r="N24" s="11"/>
      <c r="O24" s="12"/>
      <c r="P24" s="12"/>
      <c r="Q24" s="13"/>
      <c r="R24" s="13"/>
      <c r="S24" s="13"/>
    </row>
    <row r="25" spans="1:19" x14ac:dyDescent="0.25">
      <c r="I25" s="131"/>
      <c r="J25" s="39">
        <v>6</v>
      </c>
      <c r="K25" s="78">
        <f t="shared" si="3"/>
        <v>18</v>
      </c>
      <c r="L25" s="80">
        <f t="shared" si="4"/>
        <v>131206.66097473749</v>
      </c>
      <c r="M25" s="7">
        <f t="shared" si="5"/>
        <v>1.5159291344080174E-2</v>
      </c>
      <c r="N25" s="11"/>
      <c r="O25" s="12"/>
      <c r="P25" s="12"/>
      <c r="Q25" s="13"/>
      <c r="R25" s="13"/>
      <c r="S25" s="13"/>
    </row>
    <row r="26" spans="1:19" ht="15.75" thickBot="1" x14ac:dyDescent="0.3">
      <c r="I26" s="132"/>
      <c r="J26" s="49">
        <v>7</v>
      </c>
      <c r="K26" s="81">
        <f t="shared" si="3"/>
        <v>21</v>
      </c>
      <c r="L26" s="82">
        <f t="shared" si="4"/>
        <v>224394.57978377704</v>
      </c>
      <c r="M26" s="22">
        <f t="shared" si="5"/>
        <v>8.8638504633960762E-3</v>
      </c>
      <c r="N26" s="11"/>
      <c r="O26" s="12"/>
      <c r="P26" s="12"/>
      <c r="Q26" s="13"/>
      <c r="R26" s="13"/>
      <c r="S26" s="13"/>
    </row>
    <row r="27" spans="1:19" ht="15.75" thickBot="1" x14ac:dyDescent="0.3">
      <c r="I27" s="25"/>
      <c r="K27" s="26"/>
      <c r="L27" s="27"/>
      <c r="M27" s="28"/>
      <c r="O27" s="29"/>
      <c r="P27" s="29"/>
      <c r="Q27" s="30"/>
      <c r="R27" s="30"/>
      <c r="S27" s="30"/>
    </row>
    <row r="28" spans="1:19" ht="123" customHeight="1" thickBot="1" x14ac:dyDescent="0.3">
      <c r="I28" s="70" t="s">
        <v>1</v>
      </c>
      <c r="J28" s="71" t="s">
        <v>29</v>
      </c>
      <c r="K28" s="71" t="s">
        <v>30</v>
      </c>
      <c r="L28" s="71" t="s">
        <v>31</v>
      </c>
      <c r="M28" s="72" t="s">
        <v>32</v>
      </c>
      <c r="N28" s="73" t="s">
        <v>33</v>
      </c>
      <c r="O28" s="71" t="s">
        <v>56</v>
      </c>
      <c r="P28" s="71" t="s">
        <v>57</v>
      </c>
      <c r="Q28" s="72" t="s">
        <v>36</v>
      </c>
      <c r="R28" s="72" t="s">
        <v>53</v>
      </c>
      <c r="S28" s="74" t="s">
        <v>38</v>
      </c>
    </row>
    <row r="29" spans="1:19" ht="15.75" thickBot="1" x14ac:dyDescent="0.3">
      <c r="I29" s="133" t="s">
        <v>58</v>
      </c>
      <c r="J29" s="88">
        <v>0</v>
      </c>
      <c r="K29" s="89">
        <f t="shared" ref="K29:K36" si="6">J29*3</f>
        <v>0</v>
      </c>
      <c r="L29" s="77">
        <v>1648</v>
      </c>
      <c r="M29" s="23">
        <f>1001/L29</f>
        <v>0.60740291262135926</v>
      </c>
      <c r="N29" s="83">
        <v>1001</v>
      </c>
      <c r="O29" s="84">
        <v>5460</v>
      </c>
      <c r="P29" s="84">
        <v>0.56000000000000005</v>
      </c>
      <c r="Q29" s="85">
        <f>C2</f>
        <v>1.4999999999999999E-2</v>
      </c>
      <c r="R29" s="85">
        <v>5.3999999999999999E-2</v>
      </c>
      <c r="S29" s="86">
        <v>0.65</v>
      </c>
    </row>
    <row r="30" spans="1:19" x14ac:dyDescent="0.25">
      <c r="I30" s="134"/>
      <c r="J30" s="90">
        <v>1</v>
      </c>
      <c r="K30" s="75">
        <f t="shared" si="6"/>
        <v>3</v>
      </c>
      <c r="L30" s="79">
        <f>L29*P$29*O$29*Q$29*R$29*S$29+N$29</f>
        <v>3653.9939072000002</v>
      </c>
      <c r="M30" s="31">
        <f>1001/L30</f>
        <v>0.27394681694120587</v>
      </c>
      <c r="N30" s="8"/>
      <c r="O30" s="9"/>
      <c r="P30" s="9"/>
      <c r="Q30" s="10"/>
      <c r="R30" s="10"/>
      <c r="S30" s="10"/>
    </row>
    <row r="31" spans="1:19" x14ac:dyDescent="0.25">
      <c r="I31" s="134"/>
      <c r="J31" s="39">
        <v>2</v>
      </c>
      <c r="K31" s="78">
        <f t="shared" si="6"/>
        <v>6</v>
      </c>
      <c r="L31" s="80">
        <f t="shared" ref="L31:L36" si="7">L30*P$29*O$29*Q$29*R$29*S$29+N$29</f>
        <v>6883.29585724971</v>
      </c>
      <c r="M31" s="7">
        <f>1001/L31</f>
        <v>0.14542452057261412</v>
      </c>
      <c r="N31" s="11"/>
      <c r="O31" s="12"/>
      <c r="P31" s="12"/>
      <c r="Q31" s="13"/>
      <c r="R31" s="13"/>
      <c r="S31" s="13"/>
    </row>
    <row r="32" spans="1:19" x14ac:dyDescent="0.25">
      <c r="I32" s="134"/>
      <c r="J32" s="39">
        <v>3</v>
      </c>
      <c r="K32" s="78">
        <f t="shared" si="6"/>
        <v>9</v>
      </c>
      <c r="L32" s="80">
        <f t="shared" si="7"/>
        <v>12081.911390011217</v>
      </c>
      <c r="M32" s="7">
        <f>1001/L32</f>
        <v>8.2851129071148624E-2</v>
      </c>
      <c r="N32" s="11"/>
      <c r="O32" s="12"/>
      <c r="P32" s="12"/>
      <c r="Q32" s="13"/>
      <c r="R32" s="13"/>
      <c r="S32" s="13"/>
    </row>
    <row r="33" spans="9:19" x14ac:dyDescent="0.25">
      <c r="I33" s="134"/>
      <c r="J33" s="39">
        <v>4</v>
      </c>
      <c r="K33" s="78">
        <f t="shared" si="6"/>
        <v>12</v>
      </c>
      <c r="L33" s="80">
        <f t="shared" si="7"/>
        <v>20450.779918100754</v>
      </c>
      <c r="M33" s="7">
        <f>1001/L33</f>
        <v>4.8946788533674755E-2</v>
      </c>
      <c r="N33" s="11"/>
      <c r="O33" s="12"/>
      <c r="P33" s="12"/>
      <c r="Q33" s="13"/>
      <c r="R33" s="13"/>
      <c r="S33" s="13"/>
    </row>
    <row r="34" spans="9:19" x14ac:dyDescent="0.25">
      <c r="I34" s="134"/>
      <c r="J34" s="39">
        <v>5</v>
      </c>
      <c r="K34" s="78">
        <f t="shared" si="6"/>
        <v>15</v>
      </c>
      <c r="L34" s="80">
        <f t="shared" si="7"/>
        <v>33923.20541274843</v>
      </c>
      <c r="M34" s="7">
        <f t="shared" ref="M34:M36" si="8">1001/L34</f>
        <v>2.9507824741815864E-2</v>
      </c>
      <c r="N34" s="11"/>
      <c r="O34" s="12"/>
      <c r="P34" s="12"/>
      <c r="Q34" s="13"/>
      <c r="R34" s="13"/>
      <c r="S34" s="13"/>
    </row>
    <row r="35" spans="9:19" x14ac:dyDescent="0.25">
      <c r="I35" s="134"/>
      <c r="J35" s="39">
        <v>6</v>
      </c>
      <c r="K35" s="78">
        <f t="shared" si="6"/>
        <v>18</v>
      </c>
      <c r="L35" s="80">
        <f t="shared" si="7"/>
        <v>55611.471646065314</v>
      </c>
      <c r="M35" s="7">
        <f t="shared" si="8"/>
        <v>1.7999883304128023E-2</v>
      </c>
      <c r="N35" s="11"/>
      <c r="O35" s="12"/>
      <c r="P35" s="12"/>
      <c r="Q35" s="13"/>
      <c r="R35" s="13"/>
      <c r="S35" s="13"/>
    </row>
    <row r="36" spans="9:19" ht="15.75" thickBot="1" x14ac:dyDescent="0.3">
      <c r="I36" s="135"/>
      <c r="J36" s="49">
        <v>7</v>
      </c>
      <c r="K36" s="81">
        <f t="shared" si="6"/>
        <v>21</v>
      </c>
      <c r="L36" s="82">
        <f t="shared" si="7"/>
        <v>90525.8151986874</v>
      </c>
      <c r="M36" s="22">
        <f t="shared" si="8"/>
        <v>1.1057619285758326E-2</v>
      </c>
      <c r="N36" s="11"/>
      <c r="O36" s="12"/>
      <c r="P36" s="12"/>
      <c r="Q36" s="13"/>
      <c r="R36" s="13"/>
      <c r="S36" s="13"/>
    </row>
    <row r="37" spans="9:19" x14ac:dyDescent="0.25">
      <c r="J37" s="30"/>
      <c r="K37" s="30"/>
      <c r="L37" s="30"/>
      <c r="N37" s="28"/>
    </row>
  </sheetData>
  <sheetProtection sheet="1" objects="1" scenarios="1"/>
  <mergeCells count="13">
    <mergeCell ref="I19:I26"/>
    <mergeCell ref="I29:I36"/>
    <mergeCell ref="A1:D1"/>
    <mergeCell ref="I1:S1"/>
    <mergeCell ref="F2:G2"/>
    <mergeCell ref="A3:A6"/>
    <mergeCell ref="B3:B6"/>
    <mergeCell ref="C3:C6"/>
    <mergeCell ref="D3:D6"/>
    <mergeCell ref="F3:F6"/>
    <mergeCell ref="G3:G6"/>
    <mergeCell ref="I3:I16"/>
    <mergeCell ref="A11:D13"/>
  </mergeCells>
  <pageMargins left="0.7" right="0.7" top="0.75" bottom="0.75" header="0.3" footer="0.3"/>
  <pageSetup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17364-95B2-4BEC-81B2-B39FB61F6A19}">
  <dimension ref="A1:L35"/>
  <sheetViews>
    <sheetView workbookViewId="0"/>
  </sheetViews>
  <sheetFormatPr defaultColWidth="0" defaultRowHeight="15" customHeight="1" zeroHeight="1" x14ac:dyDescent="0.25"/>
  <cols>
    <col min="1" max="1" width="8.7109375" style="1" customWidth="1"/>
    <col min="2" max="3" width="13.42578125" style="1" customWidth="1"/>
    <col min="4" max="11" width="8.7109375" style="1" customWidth="1"/>
    <col min="12" max="12" width="9.140625" style="1" customWidth="1"/>
    <col min="13" max="16384" width="8.7109375" style="1" hidden="1"/>
  </cols>
  <sheetData>
    <row r="1" spans="1:12" x14ac:dyDescent="0.25">
      <c r="A1" s="102" t="s">
        <v>59</v>
      </c>
      <c r="B1"/>
      <c r="C1"/>
      <c r="D1"/>
      <c r="E1"/>
      <c r="F1"/>
      <c r="G1"/>
      <c r="H1"/>
      <c r="I1"/>
      <c r="J1"/>
      <c r="K1"/>
      <c r="L1"/>
    </row>
    <row r="2" spans="1:12" x14ac:dyDescent="0.25">
      <c r="A2"/>
      <c r="B2" s="103"/>
      <c r="C2" s="104"/>
      <c r="D2"/>
      <c r="E2"/>
      <c r="F2"/>
      <c r="G2"/>
      <c r="H2"/>
      <c r="I2"/>
      <c r="J2"/>
      <c r="K2"/>
      <c r="L2"/>
    </row>
    <row r="3" spans="1:12" ht="27" customHeight="1" x14ac:dyDescent="0.25">
      <c r="A3" s="105" t="s">
        <v>2</v>
      </c>
      <c r="B3" s="106" t="s">
        <v>60</v>
      </c>
      <c r="C3" s="106" t="s">
        <v>61</v>
      </c>
      <c r="D3"/>
      <c r="E3" s="155" t="s">
        <v>62</v>
      </c>
      <c r="F3" s="155"/>
      <c r="G3" s="155"/>
      <c r="H3" s="155"/>
      <c r="I3" s="155"/>
      <c r="J3" s="155"/>
      <c r="K3" s="155"/>
      <c r="L3" s="155"/>
    </row>
    <row r="4" spans="1:12" x14ac:dyDescent="0.25">
      <c r="A4" s="39">
        <v>1995</v>
      </c>
      <c r="B4" s="107">
        <v>0.47222222222222221</v>
      </c>
      <c r="C4" s="61">
        <v>5190.2650000000021</v>
      </c>
      <c r="D4"/>
      <c r="E4" s="155"/>
      <c r="F4" s="155"/>
      <c r="G4" s="155"/>
      <c r="H4" s="155"/>
      <c r="I4" s="155"/>
      <c r="J4" s="155"/>
      <c r="K4" s="155"/>
      <c r="L4" s="155"/>
    </row>
    <row r="5" spans="1:12" x14ac:dyDescent="0.25">
      <c r="A5" s="39">
        <v>1996</v>
      </c>
      <c r="B5" s="107">
        <v>0.4375</v>
      </c>
      <c r="C5" s="61">
        <v>4545.1471428571413</v>
      </c>
      <c r="D5"/>
      <c r="E5" s="155"/>
      <c r="F5" s="155"/>
      <c r="G5" s="155"/>
      <c r="H5" s="155"/>
      <c r="I5" s="155"/>
      <c r="J5" s="155"/>
      <c r="K5" s="155"/>
      <c r="L5" s="155"/>
    </row>
    <row r="6" spans="1:12" x14ac:dyDescent="0.25">
      <c r="A6" s="39">
        <v>1997</v>
      </c>
      <c r="B6" s="107">
        <v>0.54560530679933661</v>
      </c>
      <c r="C6" s="61">
        <v>5372.3606153846094</v>
      </c>
      <c r="D6"/>
      <c r="E6" s="155"/>
      <c r="F6" s="155"/>
      <c r="G6" s="155"/>
      <c r="H6" s="155"/>
      <c r="I6" s="155"/>
      <c r="J6" s="155"/>
      <c r="K6" s="155"/>
      <c r="L6" s="155"/>
    </row>
    <row r="7" spans="1:12" x14ac:dyDescent="0.25">
      <c r="A7" s="39">
        <v>1998</v>
      </c>
      <c r="B7" s="107" t="s">
        <v>63</v>
      </c>
      <c r="C7" s="61" t="s">
        <v>63</v>
      </c>
      <c r="D7"/>
      <c r="E7" s="155"/>
      <c r="F7" s="155"/>
      <c r="G7" s="155"/>
      <c r="H7" s="155"/>
      <c r="I7" s="155"/>
      <c r="J7" s="155"/>
      <c r="K7" s="155"/>
      <c r="L7" s="155"/>
    </row>
    <row r="8" spans="1:12" x14ac:dyDescent="0.25">
      <c r="A8" s="39">
        <v>1999</v>
      </c>
      <c r="B8" s="107">
        <v>0.5</v>
      </c>
      <c r="C8" s="61">
        <v>5343.0347169811212</v>
      </c>
    </row>
    <row r="9" spans="1:12" x14ac:dyDescent="0.25">
      <c r="A9" s="39">
        <v>2000</v>
      </c>
      <c r="B9" s="107">
        <v>0.62704309063893016</v>
      </c>
      <c r="C9" s="61">
        <v>5938.960023696688</v>
      </c>
    </row>
    <row r="10" spans="1:12" x14ac:dyDescent="0.25">
      <c r="A10" s="39">
        <v>2001</v>
      </c>
      <c r="B10" s="107">
        <v>0.60676532769556024</v>
      </c>
      <c r="C10" s="61">
        <v>6404.726280487821</v>
      </c>
    </row>
    <row r="11" spans="1:12" x14ac:dyDescent="0.25">
      <c r="A11" s="39">
        <v>2002</v>
      </c>
      <c r="B11" s="107">
        <v>0.59895287958115184</v>
      </c>
      <c r="C11" s="61">
        <v>5929.3289860140103</v>
      </c>
    </row>
    <row r="12" spans="1:12" x14ac:dyDescent="0.25">
      <c r="A12" s="39">
        <v>2003</v>
      </c>
      <c r="B12" s="107">
        <v>0.59305339554173142</v>
      </c>
      <c r="C12" s="61">
        <v>5935.8387325175017</v>
      </c>
    </row>
    <row r="13" spans="1:12" x14ac:dyDescent="0.25">
      <c r="A13" s="39">
        <v>2004</v>
      </c>
      <c r="B13" s="107">
        <v>0.60252935862691959</v>
      </c>
      <c r="C13" s="61">
        <v>5540.0665367316424</v>
      </c>
    </row>
    <row r="14" spans="1:12" x14ac:dyDescent="0.25">
      <c r="A14" s="39">
        <v>2005</v>
      </c>
      <c r="B14" s="107">
        <v>0.67777777777777781</v>
      </c>
      <c r="C14" s="61">
        <v>5796.271311475406</v>
      </c>
    </row>
    <row r="15" spans="1:12" x14ac:dyDescent="0.25">
      <c r="A15" s="39">
        <v>2006</v>
      </c>
      <c r="B15" s="107">
        <v>0.70750988142292492</v>
      </c>
      <c r="C15" s="61">
        <v>6090.0662569832357</v>
      </c>
    </row>
    <row r="16" spans="1:12" x14ac:dyDescent="0.25">
      <c r="A16" s="39">
        <v>2007</v>
      </c>
      <c r="B16" s="107">
        <v>0.375</v>
      </c>
      <c r="C16" s="61">
        <v>6026.5288888888872</v>
      </c>
    </row>
    <row r="17" spans="1:3" x14ac:dyDescent="0.25">
      <c r="A17" s="39">
        <v>2008</v>
      </c>
      <c r="B17" s="107">
        <v>0.62037037037037035</v>
      </c>
      <c r="C17" s="61">
        <v>5870.1810447761209</v>
      </c>
    </row>
    <row r="18" spans="1:3" x14ac:dyDescent="0.25">
      <c r="A18" s="39">
        <v>2009</v>
      </c>
      <c r="B18" s="107">
        <v>0.44565217391304346</v>
      </c>
      <c r="C18" s="108">
        <v>5661.6537499999995</v>
      </c>
    </row>
    <row r="19" spans="1:3" x14ac:dyDescent="0.25">
      <c r="A19" s="39">
        <v>2010</v>
      </c>
      <c r="B19" s="107">
        <v>0.45454545454545453</v>
      </c>
      <c r="C19" s="108">
        <v>5728.9949999999999</v>
      </c>
    </row>
    <row r="20" spans="1:3" x14ac:dyDescent="0.25">
      <c r="A20" s="39">
        <v>2011</v>
      </c>
      <c r="B20" s="109">
        <v>0.51626016260162599</v>
      </c>
      <c r="C20" s="108">
        <v>4961.9472834645603</v>
      </c>
    </row>
    <row r="21" spans="1:3" x14ac:dyDescent="0.25">
      <c r="A21" s="39">
        <v>2012</v>
      </c>
      <c r="B21" s="107">
        <v>0.646095717884131</v>
      </c>
      <c r="C21" s="108">
        <v>5830.0879532163854</v>
      </c>
    </row>
    <row r="22" spans="1:3" x14ac:dyDescent="0.25">
      <c r="A22" s="39">
        <v>2013</v>
      </c>
      <c r="B22" s="109">
        <v>0.62765957446808507</v>
      </c>
      <c r="C22" s="108">
        <v>6116.9438606403091</v>
      </c>
    </row>
    <row r="23" spans="1:3" x14ac:dyDescent="0.25">
      <c r="A23" s="110"/>
      <c r="B23" s="111"/>
      <c r="C23" s="112"/>
    </row>
    <row r="24" spans="1:3" x14ac:dyDescent="0.25">
      <c r="A24" s="39" t="s">
        <v>64</v>
      </c>
      <c r="B24" s="107">
        <f>MAX(B4:B22)</f>
        <v>0.70750988142292492</v>
      </c>
      <c r="C24" s="113">
        <f>MAX(C4:C22)</f>
        <v>6404.726280487821</v>
      </c>
    </row>
    <row r="25" spans="1:3" x14ac:dyDescent="0.25">
      <c r="A25" s="39" t="s">
        <v>65</v>
      </c>
      <c r="B25" s="107">
        <f>AVERAGE(B4:B22)</f>
        <v>0.55858570522718143</v>
      </c>
      <c r="C25" s="61">
        <f>AVERAGE(C4:C22)</f>
        <v>5682.3557435619687</v>
      </c>
    </row>
    <row r="26" spans="1:3" x14ac:dyDescent="0.25">
      <c r="A26" s="39" t="s">
        <v>66</v>
      </c>
      <c r="B26" s="107">
        <f>MEDIAN(B4:B22)</f>
        <v>0.59600313756144163</v>
      </c>
      <c r="C26" s="61">
        <f>MEDIAN(C4:C22)</f>
        <v>5813.1796323458957</v>
      </c>
    </row>
    <row r="27" spans="1:3" x14ac:dyDescent="0.25">
      <c r="A27" s="39" t="s">
        <v>67</v>
      </c>
      <c r="B27" s="107">
        <f>MIN(B4:B22)</f>
        <v>0.375</v>
      </c>
      <c r="C27" s="61">
        <f>MIN(C2:C22)</f>
        <v>4545.1471428571413</v>
      </c>
    </row>
    <row r="28" spans="1:3" x14ac:dyDescent="0.25"/>
    <row r="29" spans="1:3" x14ac:dyDescent="0.25"/>
    <row r="30" spans="1:3" x14ac:dyDescent="0.25"/>
    <row r="31" spans="1:3" x14ac:dyDescent="0.25"/>
    <row r="32" spans="1:3" x14ac:dyDescent="0.25"/>
    <row r="33" s="1" customFormat="1" x14ac:dyDescent="0.25"/>
    <row r="34" s="1" customFormat="1" hidden="1" x14ac:dyDescent="0.25"/>
    <row r="35" s="1" customFormat="1" hidden="1" x14ac:dyDescent="0.25"/>
  </sheetData>
  <sheetProtection sheet="1" objects="1" scenarios="1"/>
  <mergeCells count="1">
    <mergeCell ref="E3:L7"/>
  </mergeCells>
  <pageMargins left="0.7" right="0.7" top="0.75" bottom="0.75" header="0.3" footer="0.3"/>
  <pageSetup orientation="landscape" horizontalDpi="4294967292" verticalDpi="4294967292" r:id="rId1"/>
  <headerFooter>
    <oddHeader>&amp;C&amp;"-,Bold"&amp;12Appendix A
Stanislaus Survival Model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DDCC4-682C-42BC-B1E2-67E124FA0EF2}">
  <dimension ref="A1:G46"/>
  <sheetViews>
    <sheetView workbookViewId="0">
      <selection sqref="A1:G1"/>
    </sheetView>
  </sheetViews>
  <sheetFormatPr defaultRowHeight="15" x14ac:dyDescent="0.25"/>
  <cols>
    <col min="1" max="1" width="9.140625" style="1"/>
    <col min="2" max="2" width="10.85546875" style="1" customWidth="1"/>
    <col min="3" max="3" width="9.140625" style="1"/>
    <col min="4" max="4" width="11" style="1" customWidth="1"/>
    <col min="5" max="5" width="9.140625" style="1"/>
    <col min="6" max="6" width="12" style="1" bestFit="1" customWidth="1"/>
    <col min="7" max="7" width="12.85546875" style="1" customWidth="1"/>
    <col min="8" max="9" width="9.140625" style="1"/>
    <col min="10" max="10" width="12" style="1" bestFit="1" customWidth="1"/>
    <col min="11" max="11" width="11" style="1" bestFit="1" customWidth="1"/>
    <col min="12" max="16384" width="9.140625" style="1"/>
  </cols>
  <sheetData>
    <row r="1" spans="1:7" ht="49.5" customHeight="1" x14ac:dyDescent="0.25">
      <c r="A1" s="155" t="s">
        <v>68</v>
      </c>
      <c r="B1" s="155"/>
      <c r="C1" s="155"/>
      <c r="D1" s="155"/>
      <c r="E1" s="155"/>
      <c r="F1" s="155"/>
      <c r="G1" s="155"/>
    </row>
    <row r="2" spans="1:7" ht="45" x14ac:dyDescent="0.25">
      <c r="A2" s="115" t="s">
        <v>2</v>
      </c>
      <c r="B2" s="115" t="s">
        <v>69</v>
      </c>
      <c r="C2" s="115" t="s">
        <v>70</v>
      </c>
      <c r="D2" s="115" t="s">
        <v>60</v>
      </c>
      <c r="E2" s="115" t="s">
        <v>71</v>
      </c>
      <c r="F2" s="115" t="s">
        <v>72</v>
      </c>
      <c r="G2" s="115" t="s">
        <v>73</v>
      </c>
    </row>
    <row r="3" spans="1:7" x14ac:dyDescent="0.25">
      <c r="A3">
        <v>1971</v>
      </c>
      <c r="B3" s="116">
        <v>21885</v>
      </c>
      <c r="C3" s="116">
        <v>12693</v>
      </c>
      <c r="D3">
        <v>58</v>
      </c>
      <c r="E3"/>
      <c r="F3"/>
      <c r="G3"/>
    </row>
    <row r="4" spans="1:7" x14ac:dyDescent="0.25">
      <c r="A4">
        <v>1972</v>
      </c>
      <c r="B4" s="116">
        <v>5100</v>
      </c>
      <c r="C4" s="116">
        <v>2652</v>
      </c>
      <c r="D4">
        <v>52</v>
      </c>
      <c r="E4"/>
      <c r="F4"/>
      <c r="G4"/>
    </row>
    <row r="5" spans="1:7" x14ac:dyDescent="0.25">
      <c r="A5">
        <v>1973</v>
      </c>
      <c r="B5" s="116">
        <v>1989</v>
      </c>
      <c r="C5" s="116">
        <v>1174</v>
      </c>
      <c r="D5">
        <v>59</v>
      </c>
      <c r="E5"/>
      <c r="F5"/>
      <c r="G5"/>
    </row>
    <row r="6" spans="1:7" x14ac:dyDescent="0.25">
      <c r="A6">
        <v>1974</v>
      </c>
      <c r="B6" s="116">
        <v>1150</v>
      </c>
      <c r="C6">
        <v>633</v>
      </c>
      <c r="D6">
        <v>55</v>
      </c>
      <c r="E6"/>
      <c r="F6"/>
      <c r="G6"/>
    </row>
    <row r="7" spans="1:7" x14ac:dyDescent="0.25">
      <c r="A7">
        <v>1975</v>
      </c>
      <c r="B7" s="116">
        <v>1600</v>
      </c>
      <c r="C7">
        <v>960</v>
      </c>
      <c r="D7">
        <v>60</v>
      </c>
      <c r="E7"/>
      <c r="F7"/>
      <c r="G7"/>
    </row>
    <row r="8" spans="1:7" x14ac:dyDescent="0.25">
      <c r="A8">
        <v>1976</v>
      </c>
      <c r="B8" s="116">
        <v>1700</v>
      </c>
      <c r="C8">
        <v>867</v>
      </c>
      <c r="D8">
        <v>51</v>
      </c>
      <c r="E8"/>
      <c r="F8"/>
      <c r="G8"/>
    </row>
    <row r="9" spans="1:7" x14ac:dyDescent="0.25">
      <c r="A9">
        <v>1977</v>
      </c>
      <c r="B9">
        <v>450</v>
      </c>
      <c r="C9">
        <v>279</v>
      </c>
      <c r="D9">
        <v>62</v>
      </c>
      <c r="E9"/>
      <c r="F9"/>
      <c r="G9"/>
    </row>
    <row r="10" spans="1:7" x14ac:dyDescent="0.25">
      <c r="A10">
        <v>1978</v>
      </c>
      <c r="B10" s="116">
        <v>1300</v>
      </c>
      <c r="C10">
        <v>871</v>
      </c>
      <c r="D10">
        <v>67</v>
      </c>
      <c r="E10"/>
      <c r="F10"/>
      <c r="G10"/>
    </row>
    <row r="11" spans="1:7" x14ac:dyDescent="0.25">
      <c r="A11">
        <v>1979</v>
      </c>
      <c r="B11" s="116">
        <v>1184</v>
      </c>
      <c r="C11">
        <v>604</v>
      </c>
      <c r="D11">
        <v>51</v>
      </c>
      <c r="E11"/>
      <c r="F11"/>
      <c r="G11"/>
    </row>
    <row r="12" spans="1:7" x14ac:dyDescent="0.25">
      <c r="A12">
        <v>1980</v>
      </c>
      <c r="B12">
        <v>559</v>
      </c>
      <c r="C12">
        <v>341</v>
      </c>
      <c r="D12">
        <v>61</v>
      </c>
      <c r="E12"/>
      <c r="F12"/>
      <c r="G12"/>
    </row>
    <row r="13" spans="1:7" x14ac:dyDescent="0.25">
      <c r="A13">
        <v>1981</v>
      </c>
      <c r="B13" s="116">
        <v>14253</v>
      </c>
      <c r="C13" s="116">
        <v>6271</v>
      </c>
      <c r="D13">
        <v>44</v>
      </c>
      <c r="E13">
        <v>64.2</v>
      </c>
      <c r="F13">
        <v>4034</v>
      </c>
      <c r="G13">
        <v>25.3</v>
      </c>
    </row>
    <row r="14" spans="1:7" x14ac:dyDescent="0.25">
      <c r="A14">
        <v>1982</v>
      </c>
      <c r="B14" s="116">
        <v>7126</v>
      </c>
      <c r="C14" s="116">
        <v>4276</v>
      </c>
      <c r="D14">
        <v>60</v>
      </c>
      <c r="E14">
        <v>76.900000000000006</v>
      </c>
      <c r="F14">
        <v>6046</v>
      </c>
      <c r="G14">
        <v>25.85</v>
      </c>
    </row>
    <row r="15" spans="1:7" x14ac:dyDescent="0.25">
      <c r="A15">
        <v>1983</v>
      </c>
      <c r="B15" s="116">
        <v>14836</v>
      </c>
      <c r="C15" s="116">
        <v>3709</v>
      </c>
      <c r="D15">
        <v>25</v>
      </c>
      <c r="E15">
        <v>54.8</v>
      </c>
      <c r="F15">
        <v>2544</v>
      </c>
      <c r="G15">
        <v>9.44</v>
      </c>
    </row>
    <row r="16" spans="1:7" x14ac:dyDescent="0.25">
      <c r="A16">
        <v>1984</v>
      </c>
      <c r="B16" s="116">
        <v>13689</v>
      </c>
      <c r="C16" s="116">
        <v>4654</v>
      </c>
      <c r="D16">
        <v>34</v>
      </c>
      <c r="E16">
        <v>64.7</v>
      </c>
      <c r="F16">
        <v>4113</v>
      </c>
      <c r="G16">
        <v>19.14</v>
      </c>
    </row>
    <row r="17" spans="1:7" x14ac:dyDescent="0.25">
      <c r="A17">
        <v>1985</v>
      </c>
      <c r="B17" s="116">
        <v>40322</v>
      </c>
      <c r="C17" s="116">
        <v>22580</v>
      </c>
      <c r="D17">
        <v>56</v>
      </c>
      <c r="E17">
        <v>74.7</v>
      </c>
      <c r="F17">
        <v>5697</v>
      </c>
      <c r="G17">
        <v>128.65</v>
      </c>
    </row>
    <row r="18" spans="1:7" x14ac:dyDescent="0.25">
      <c r="A18">
        <v>1986</v>
      </c>
      <c r="B18" s="116">
        <v>7404</v>
      </c>
      <c r="C18" s="116">
        <v>3554</v>
      </c>
      <c r="D18">
        <v>48</v>
      </c>
      <c r="E18">
        <v>81</v>
      </c>
      <c r="F18">
        <v>6696</v>
      </c>
      <c r="G18">
        <v>23.8</v>
      </c>
    </row>
    <row r="19" spans="1:7" x14ac:dyDescent="0.25">
      <c r="A19">
        <v>1987</v>
      </c>
      <c r="B19" s="116">
        <v>14751</v>
      </c>
      <c r="C19" s="116">
        <v>4573</v>
      </c>
      <c r="D19">
        <v>31</v>
      </c>
      <c r="E19">
        <v>60.4</v>
      </c>
      <c r="F19">
        <v>3431</v>
      </c>
      <c r="G19">
        <v>15.69</v>
      </c>
    </row>
    <row r="20" spans="1:7" x14ac:dyDescent="0.25">
      <c r="A20">
        <v>1988</v>
      </c>
      <c r="B20" s="116">
        <v>5779</v>
      </c>
      <c r="C20" s="116">
        <v>3467</v>
      </c>
      <c r="D20">
        <v>60</v>
      </c>
      <c r="E20">
        <v>73.8</v>
      </c>
      <c r="F20">
        <v>5548</v>
      </c>
      <c r="G20">
        <v>19.239999999999998</v>
      </c>
    </row>
    <row r="21" spans="1:7" x14ac:dyDescent="0.25">
      <c r="A21">
        <v>1989</v>
      </c>
      <c r="B21" s="116">
        <v>1275</v>
      </c>
      <c r="C21">
        <v>663</v>
      </c>
      <c r="D21">
        <v>52</v>
      </c>
      <c r="E21">
        <v>79.2</v>
      </c>
      <c r="F21">
        <v>6410</v>
      </c>
      <c r="G21">
        <v>4.25</v>
      </c>
    </row>
    <row r="22" spans="1:7" x14ac:dyDescent="0.25">
      <c r="A22">
        <v>1990</v>
      </c>
      <c r="B22">
        <v>96</v>
      </c>
      <c r="C22">
        <v>31</v>
      </c>
      <c r="D22">
        <v>32</v>
      </c>
      <c r="E22">
        <v>77.8</v>
      </c>
      <c r="F22">
        <v>6189</v>
      </c>
      <c r="G22">
        <v>0.19</v>
      </c>
    </row>
    <row r="23" spans="1:7" x14ac:dyDescent="0.25">
      <c r="A23">
        <v>1991</v>
      </c>
      <c r="B23">
        <v>77</v>
      </c>
      <c r="C23">
        <v>35</v>
      </c>
      <c r="D23">
        <v>45</v>
      </c>
      <c r="E23">
        <v>71.3</v>
      </c>
      <c r="F23">
        <v>5159</v>
      </c>
      <c r="G23">
        <v>0.18</v>
      </c>
    </row>
    <row r="24" spans="1:7" x14ac:dyDescent="0.25">
      <c r="A24">
        <v>1992</v>
      </c>
      <c r="B24">
        <v>132</v>
      </c>
      <c r="C24">
        <v>56</v>
      </c>
      <c r="D24">
        <v>43</v>
      </c>
      <c r="E24">
        <v>64.2</v>
      </c>
      <c r="F24">
        <v>4034</v>
      </c>
      <c r="G24">
        <v>0.23</v>
      </c>
    </row>
    <row r="25" spans="1:7" x14ac:dyDescent="0.25">
      <c r="A25">
        <v>1993</v>
      </c>
      <c r="B25">
        <v>471</v>
      </c>
      <c r="C25">
        <v>289</v>
      </c>
      <c r="D25">
        <v>61</v>
      </c>
      <c r="E25">
        <v>68.8</v>
      </c>
      <c r="F25">
        <v>4762</v>
      </c>
      <c r="G25">
        <v>1.38</v>
      </c>
    </row>
    <row r="26" spans="1:7" x14ac:dyDescent="0.25">
      <c r="A26">
        <v>1994</v>
      </c>
      <c r="B26">
        <v>506</v>
      </c>
      <c r="C26">
        <v>251</v>
      </c>
      <c r="D26">
        <v>50</v>
      </c>
      <c r="E26">
        <v>71.900000000000006</v>
      </c>
      <c r="F26">
        <v>5254</v>
      </c>
      <c r="G26">
        <v>1.32</v>
      </c>
    </row>
    <row r="27" spans="1:7" x14ac:dyDescent="0.25">
      <c r="A27">
        <v>1995</v>
      </c>
      <c r="B27">
        <v>827</v>
      </c>
      <c r="C27">
        <v>447</v>
      </c>
      <c r="D27">
        <v>54</v>
      </c>
      <c r="E27">
        <v>70</v>
      </c>
      <c r="F27">
        <v>4953</v>
      </c>
      <c r="G27">
        <v>2.2200000000000002</v>
      </c>
    </row>
    <row r="28" spans="1:7" x14ac:dyDescent="0.25">
      <c r="A28">
        <v>1996</v>
      </c>
      <c r="B28" s="116">
        <v>4362</v>
      </c>
      <c r="C28" s="116">
        <v>1518</v>
      </c>
      <c r="D28">
        <v>35</v>
      </c>
      <c r="E28">
        <v>65.599999999999994</v>
      </c>
      <c r="F28">
        <v>4255</v>
      </c>
      <c r="G28">
        <v>6.46</v>
      </c>
    </row>
    <row r="29" spans="1:7" x14ac:dyDescent="0.25">
      <c r="A29">
        <v>1997</v>
      </c>
      <c r="B29" s="116">
        <v>7146</v>
      </c>
      <c r="C29" s="116">
        <v>4188</v>
      </c>
      <c r="D29">
        <v>59</v>
      </c>
      <c r="E29">
        <v>72.099999999999994</v>
      </c>
      <c r="F29">
        <v>5285</v>
      </c>
      <c r="G29">
        <v>22.13</v>
      </c>
    </row>
    <row r="30" spans="1:7" x14ac:dyDescent="0.25">
      <c r="A30">
        <v>1998</v>
      </c>
      <c r="B30" s="116">
        <v>8910</v>
      </c>
      <c r="C30" s="116">
        <v>4508</v>
      </c>
      <c r="D30">
        <v>51</v>
      </c>
      <c r="E30">
        <v>70.2</v>
      </c>
      <c r="F30">
        <v>4983</v>
      </c>
      <c r="G30">
        <v>22.46</v>
      </c>
    </row>
    <row r="31" spans="1:7" x14ac:dyDescent="0.25">
      <c r="A31">
        <v>1999</v>
      </c>
      <c r="B31" s="116">
        <v>8232</v>
      </c>
      <c r="C31" s="116">
        <v>3778</v>
      </c>
      <c r="D31">
        <v>46</v>
      </c>
      <c r="E31">
        <v>70.2</v>
      </c>
      <c r="F31">
        <v>4983</v>
      </c>
      <c r="G31">
        <v>18.829999999999998</v>
      </c>
    </row>
    <row r="32" spans="1:7" x14ac:dyDescent="0.25">
      <c r="A32">
        <v>2000</v>
      </c>
      <c r="B32" s="116">
        <v>17873</v>
      </c>
      <c r="C32" s="116">
        <v>11188</v>
      </c>
      <c r="D32">
        <v>63</v>
      </c>
      <c r="E32">
        <v>77.5</v>
      </c>
      <c r="F32">
        <v>6141</v>
      </c>
      <c r="G32">
        <v>68.709999999999994</v>
      </c>
    </row>
    <row r="33" spans="1:7" x14ac:dyDescent="0.25">
      <c r="A33">
        <v>2001</v>
      </c>
      <c r="B33" s="116">
        <v>8782</v>
      </c>
      <c r="C33" s="116">
        <v>4733</v>
      </c>
      <c r="D33">
        <v>54</v>
      </c>
      <c r="E33">
        <v>80.599999999999994</v>
      </c>
      <c r="F33">
        <v>6632</v>
      </c>
      <c r="G33">
        <v>31.39</v>
      </c>
    </row>
    <row r="34" spans="1:7" x14ac:dyDescent="0.25">
      <c r="A34">
        <v>2002</v>
      </c>
      <c r="B34" s="116">
        <v>7173</v>
      </c>
      <c r="C34" s="116">
        <v>3902</v>
      </c>
      <c r="D34">
        <v>54</v>
      </c>
      <c r="E34">
        <v>76.599999999999994</v>
      </c>
      <c r="F34">
        <v>5998</v>
      </c>
      <c r="G34">
        <v>23.41</v>
      </c>
    </row>
    <row r="35" spans="1:7" x14ac:dyDescent="0.25">
      <c r="A35">
        <v>2003</v>
      </c>
      <c r="B35" s="116">
        <v>2854</v>
      </c>
      <c r="C35" s="116">
        <v>1704</v>
      </c>
      <c r="D35">
        <v>60</v>
      </c>
      <c r="E35">
        <v>77.3</v>
      </c>
      <c r="F35">
        <v>6109</v>
      </c>
      <c r="G35">
        <v>10.41</v>
      </c>
    </row>
    <row r="36" spans="1:7" x14ac:dyDescent="0.25">
      <c r="A36">
        <v>2004</v>
      </c>
      <c r="B36" s="116">
        <v>1984</v>
      </c>
      <c r="C36" s="116">
        <v>1177</v>
      </c>
      <c r="D36">
        <v>59</v>
      </c>
      <c r="E36">
        <v>73</v>
      </c>
      <c r="F36">
        <v>5428</v>
      </c>
      <c r="G36">
        <v>6.39</v>
      </c>
    </row>
    <row r="37" spans="1:7" x14ac:dyDescent="0.25">
      <c r="A37">
        <v>2005</v>
      </c>
      <c r="B37">
        <v>719</v>
      </c>
      <c r="C37">
        <v>478</v>
      </c>
      <c r="D37">
        <v>67</v>
      </c>
      <c r="E37">
        <v>75.900000000000006</v>
      </c>
      <c r="F37">
        <v>5887</v>
      </c>
      <c r="G37">
        <v>2.81</v>
      </c>
    </row>
    <row r="38" spans="1:7" x14ac:dyDescent="0.25">
      <c r="A38">
        <v>2006</v>
      </c>
      <c r="B38">
        <v>625</v>
      </c>
      <c r="C38">
        <v>282</v>
      </c>
      <c r="D38">
        <v>45</v>
      </c>
      <c r="E38">
        <v>76.900000000000006</v>
      </c>
      <c r="F38">
        <v>6046</v>
      </c>
      <c r="G38">
        <v>1.7</v>
      </c>
    </row>
    <row r="39" spans="1:7" x14ac:dyDescent="0.25">
      <c r="A39">
        <v>2007</v>
      </c>
      <c r="B39">
        <v>211</v>
      </c>
      <c r="C39">
        <v>80</v>
      </c>
      <c r="D39">
        <v>38</v>
      </c>
      <c r="E39">
        <v>81.5</v>
      </c>
      <c r="F39">
        <v>6775</v>
      </c>
      <c r="G39">
        <v>0.54</v>
      </c>
    </row>
    <row r="40" spans="1:7" x14ac:dyDescent="0.25">
      <c r="A40">
        <v>2008</v>
      </c>
      <c r="B40">
        <v>372</v>
      </c>
      <c r="C40">
        <v>212</v>
      </c>
      <c r="D40">
        <v>57</v>
      </c>
      <c r="E40">
        <v>76.599999999999994</v>
      </c>
      <c r="F40">
        <v>5998</v>
      </c>
      <c r="G40">
        <v>1.27</v>
      </c>
    </row>
    <row r="41" spans="1:7" x14ac:dyDescent="0.25">
      <c r="A41">
        <v>2009</v>
      </c>
      <c r="B41">
        <v>300</v>
      </c>
      <c r="C41">
        <v>170</v>
      </c>
      <c r="D41">
        <v>57</v>
      </c>
      <c r="E41">
        <v>76.8</v>
      </c>
      <c r="F41">
        <v>6024</v>
      </c>
      <c r="G41">
        <v>1.03</v>
      </c>
    </row>
    <row r="42" spans="1:7" x14ac:dyDescent="0.25">
      <c r="A42">
        <v>2010</v>
      </c>
      <c r="B42">
        <v>766</v>
      </c>
      <c r="C42">
        <v>258</v>
      </c>
      <c r="D42">
        <v>34</v>
      </c>
      <c r="E42">
        <v>74.599999999999994</v>
      </c>
      <c r="F42">
        <v>5681</v>
      </c>
      <c r="G42">
        <v>1.47</v>
      </c>
    </row>
    <row r="43" spans="1:7" x14ac:dyDescent="0.25">
      <c r="A43"/>
      <c r="B43"/>
      <c r="C43"/>
      <c r="D43"/>
      <c r="E43"/>
      <c r="F43"/>
      <c r="G43"/>
    </row>
    <row r="44" spans="1:7" ht="15.75" thickBot="1" x14ac:dyDescent="0.3">
      <c r="A44"/>
      <c r="B44"/>
      <c r="C44"/>
      <c r="D44"/>
      <c r="E44"/>
      <c r="F44"/>
      <c r="G44"/>
    </row>
    <row r="45" spans="1:7" ht="60" x14ac:dyDescent="0.25">
      <c r="A45"/>
      <c r="B45" s="116"/>
      <c r="C45"/>
      <c r="D45" s="117" t="s">
        <v>74</v>
      </c>
      <c r="E45" s="21"/>
      <c r="F45" s="117" t="s">
        <v>75</v>
      </c>
      <c r="G45"/>
    </row>
    <row r="46" spans="1:7" ht="15.75" thickBot="1" x14ac:dyDescent="0.3">
      <c r="A46"/>
      <c r="B46" s="116"/>
      <c r="C46"/>
      <c r="D46" s="118">
        <f>MEDIAN(D3:D42)/100</f>
        <v>0.54</v>
      </c>
      <c r="E46" s="21"/>
      <c r="F46" s="119">
        <f>MEDIAN(F13:F42)</f>
        <v>5614.5</v>
      </c>
      <c r="G46"/>
    </row>
  </sheetData>
  <sheetProtection sheet="1" objects="1" scenarios="1"/>
  <mergeCells count="1">
    <mergeCell ref="A1:G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43DF7-564D-4C85-ABEA-211A1FE96454}">
  <dimension ref="A1:L18"/>
  <sheetViews>
    <sheetView workbookViewId="0"/>
  </sheetViews>
  <sheetFormatPr defaultRowHeight="15" x14ac:dyDescent="0.25"/>
  <cols>
    <col min="1" max="8" width="9.140625" style="114"/>
    <col min="9" max="9" width="10.42578125" style="114" customWidth="1"/>
    <col min="10" max="10" width="9.140625" style="114"/>
    <col min="11" max="11" width="9.140625" style="1"/>
    <col min="12" max="12" width="10.42578125" style="1" customWidth="1"/>
    <col min="13" max="16384" width="9.140625" style="1"/>
  </cols>
  <sheetData>
    <row r="1" spans="1:12" x14ac:dyDescent="0.25">
      <c r="A1" s="122" t="s">
        <v>76</v>
      </c>
      <c r="B1" s="21"/>
      <c r="C1" s="21"/>
      <c r="D1" s="21"/>
      <c r="E1" s="21"/>
      <c r="F1" s="21"/>
      <c r="G1" s="21"/>
      <c r="H1" s="21"/>
      <c r="I1" s="21"/>
      <c r="J1" s="21"/>
      <c r="K1"/>
      <c r="L1"/>
    </row>
    <row r="2" spans="1:12" x14ac:dyDescent="0.25">
      <c r="A2" s="123" t="s">
        <v>2</v>
      </c>
      <c r="B2" s="124" t="s">
        <v>77</v>
      </c>
      <c r="C2" s="124" t="s">
        <v>78</v>
      </c>
      <c r="D2" s="123" t="s">
        <v>79</v>
      </c>
      <c r="E2" s="124" t="s">
        <v>80</v>
      </c>
      <c r="F2" s="123" t="s">
        <v>81</v>
      </c>
      <c r="G2" s="124" t="s">
        <v>82</v>
      </c>
      <c r="H2" s="123" t="s">
        <v>83</v>
      </c>
      <c r="I2" s="124" t="s">
        <v>84</v>
      </c>
      <c r="J2" s="124" t="s">
        <v>85</v>
      </c>
      <c r="K2"/>
      <c r="L2" t="s">
        <v>86</v>
      </c>
    </row>
    <row r="3" spans="1:12" x14ac:dyDescent="0.25">
      <c r="A3" s="125">
        <v>2021</v>
      </c>
      <c r="B3" s="126">
        <v>0.50704225352112675</v>
      </c>
      <c r="C3" s="126">
        <v>0.49295774647887325</v>
      </c>
      <c r="D3" s="127">
        <v>0</v>
      </c>
      <c r="E3" s="14">
        <v>75.8333333333333</v>
      </c>
      <c r="F3" s="128">
        <v>70.314285714285703</v>
      </c>
      <c r="G3" s="21">
        <v>267</v>
      </c>
      <c r="H3" s="127">
        <v>135.38028169014083</v>
      </c>
      <c r="I3" s="66">
        <v>5876.8816666666607</v>
      </c>
      <c r="J3" s="66">
        <v>795613.89549295686</v>
      </c>
      <c r="K3"/>
      <c r="L3" s="126">
        <f>B3/SUM(B3:C3)</f>
        <v>0.50704225352112675</v>
      </c>
    </row>
    <row r="4" spans="1:12" x14ac:dyDescent="0.25">
      <c r="A4" s="125">
        <v>2020</v>
      </c>
      <c r="B4" s="126">
        <v>0.61250000000000004</v>
      </c>
      <c r="C4" s="126">
        <v>0.38750000000000001</v>
      </c>
      <c r="D4" s="127">
        <v>0</v>
      </c>
      <c r="E4" s="14">
        <v>76.836734693877503</v>
      </c>
      <c r="F4" s="128">
        <v>82.290322580645196</v>
      </c>
      <c r="G4" s="21">
        <v>185</v>
      </c>
      <c r="H4" s="127">
        <v>113.31250000000001</v>
      </c>
      <c r="I4" s="66">
        <v>6035.8706122448893</v>
      </c>
      <c r="J4" s="66">
        <v>683939.58874999906</v>
      </c>
      <c r="K4"/>
      <c r="L4" s="126">
        <f>B4/SUM(B4:C4)</f>
        <v>0.61250000000000004</v>
      </c>
    </row>
    <row r="5" spans="1:12" x14ac:dyDescent="0.25">
      <c r="A5" s="125">
        <v>2019</v>
      </c>
      <c r="B5" s="126">
        <v>0.60818713450292394</v>
      </c>
      <c r="C5" s="126">
        <v>0.391812865497076</v>
      </c>
      <c r="D5" s="127">
        <v>0</v>
      </c>
      <c r="E5" s="14">
        <v>72.225961538461505</v>
      </c>
      <c r="F5" s="128">
        <v>75.746268656716396</v>
      </c>
      <c r="G5" s="21">
        <v>1014</v>
      </c>
      <c r="H5" s="127">
        <v>616.70175438596493</v>
      </c>
      <c r="I5" s="66">
        <v>5305.2936057692241</v>
      </c>
      <c r="J5" s="66">
        <v>3271783.8742105225</v>
      </c>
      <c r="K5"/>
      <c r="L5" s="126">
        <f t="shared" ref="L5:L14" si="0">B5/SUM(B5:C5)</f>
        <v>0.60818713450292394</v>
      </c>
    </row>
    <row r="6" spans="1:12" x14ac:dyDescent="0.25">
      <c r="A6" s="125">
        <v>2018</v>
      </c>
      <c r="B6" s="126">
        <v>0.41911764705882354</v>
      </c>
      <c r="C6" s="126">
        <v>0.58088235294117652</v>
      </c>
      <c r="D6" s="127">
        <v>0</v>
      </c>
      <c r="E6" s="14">
        <v>68.192982456140399</v>
      </c>
      <c r="F6" s="128">
        <v>63.936708860759502</v>
      </c>
      <c r="G6" s="21">
        <v>975</v>
      </c>
      <c r="H6" s="127">
        <v>408.63970588235293</v>
      </c>
      <c r="I6" s="66">
        <v>4666.2680701754452</v>
      </c>
      <c r="J6" s="66">
        <v>1906822.4117647086</v>
      </c>
      <c r="K6"/>
      <c r="L6" s="126">
        <f t="shared" si="0"/>
        <v>0.41911764705882354</v>
      </c>
    </row>
    <row r="7" spans="1:12" x14ac:dyDescent="0.25">
      <c r="A7" s="125">
        <v>2017</v>
      </c>
      <c r="B7" s="126">
        <v>0.57407407407407407</v>
      </c>
      <c r="C7" s="126">
        <v>0.42592592592592593</v>
      </c>
      <c r="D7" s="127">
        <v>0</v>
      </c>
      <c r="E7" s="14">
        <v>71.314516129032299</v>
      </c>
      <c r="F7" s="128">
        <v>71.820652173913004</v>
      </c>
      <c r="G7" s="21">
        <v>1961</v>
      </c>
      <c r="H7" s="127">
        <v>1125.7592592592594</v>
      </c>
      <c r="I7" s="66">
        <v>5160.8750806451662</v>
      </c>
      <c r="J7" s="66">
        <v>5809902.9079166725</v>
      </c>
      <c r="K7"/>
      <c r="L7" s="126">
        <f t="shared" si="0"/>
        <v>0.57407407407407407</v>
      </c>
    </row>
    <row r="8" spans="1:12" x14ac:dyDescent="0.25">
      <c r="A8" s="125">
        <v>2016</v>
      </c>
      <c r="B8" s="126">
        <v>0.54575707154742092</v>
      </c>
      <c r="C8" s="126">
        <v>0.45424292845257902</v>
      </c>
      <c r="D8" s="127">
        <v>0</v>
      </c>
      <c r="E8" s="14">
        <v>69.731707317073173</v>
      </c>
      <c r="F8" s="128">
        <v>73.813186813186817</v>
      </c>
      <c r="G8" s="21">
        <v>2996</v>
      </c>
      <c r="H8" s="127">
        <v>1818.4625623960064</v>
      </c>
      <c r="I8" s="66">
        <v>4910.0790243902429</v>
      </c>
      <c r="J8" s="66">
        <v>8928794.8842595648</v>
      </c>
      <c r="K8"/>
      <c r="L8" s="126">
        <f t="shared" si="0"/>
        <v>0.54575707154742092</v>
      </c>
    </row>
    <row r="9" spans="1:12" x14ac:dyDescent="0.25">
      <c r="A9" s="125">
        <v>2015</v>
      </c>
      <c r="B9" s="126">
        <v>0.58844765342960292</v>
      </c>
      <c r="C9" s="126">
        <v>0.41155234657039713</v>
      </c>
      <c r="D9" s="127">
        <v>0</v>
      </c>
      <c r="E9" s="14">
        <v>68.588957055214721</v>
      </c>
      <c r="F9" s="128">
        <v>69.89473684210526</v>
      </c>
      <c r="G9" s="21">
        <v>1206</v>
      </c>
      <c r="H9" s="127">
        <v>1439.9314079422384</v>
      </c>
      <c r="I9" s="66">
        <v>4729.0102453987711</v>
      </c>
      <c r="J9" s="66">
        <v>6809450.3808303224</v>
      </c>
      <c r="K9"/>
      <c r="L9" s="126">
        <f t="shared" si="0"/>
        <v>0.58844765342960292</v>
      </c>
    </row>
    <row r="10" spans="1:12" x14ac:dyDescent="0.25">
      <c r="A10" s="125">
        <v>2014</v>
      </c>
      <c r="B10" s="126">
        <v>0.5376344086021505</v>
      </c>
      <c r="C10" s="126">
        <v>0.45161290322580644</v>
      </c>
      <c r="D10" s="127">
        <v>1.0752688172043012E-2</v>
      </c>
      <c r="E10" s="14">
        <v>74.180000000000007</v>
      </c>
      <c r="F10" s="128">
        <v>77.595238095238102</v>
      </c>
      <c r="G10" s="21">
        <v>811</v>
      </c>
      <c r="H10" s="127">
        <v>900</v>
      </c>
      <c r="I10" s="66">
        <v>5614.9110000000001</v>
      </c>
      <c r="J10" s="66">
        <v>5053419.9000000004</v>
      </c>
      <c r="K10"/>
      <c r="L10" s="126">
        <f>B10/SUM(B10:C10)</f>
        <v>0.54347826086956519</v>
      </c>
    </row>
    <row r="11" spans="1:12" x14ac:dyDescent="0.25">
      <c r="A11" s="125">
        <v>2013</v>
      </c>
      <c r="B11" s="126">
        <v>0.45785440613026818</v>
      </c>
      <c r="C11" s="126">
        <v>0.38697318007662834</v>
      </c>
      <c r="D11" s="127">
        <v>0.15517241379310345</v>
      </c>
      <c r="E11" s="14">
        <v>77.73221757322176</v>
      </c>
      <c r="F11" s="128">
        <v>81.767326732673268</v>
      </c>
      <c r="G11" s="21">
        <v>1098</v>
      </c>
      <c r="H11" s="127">
        <v>1797.5363984674329</v>
      </c>
      <c r="I11" s="66">
        <v>6177.7598744769875</v>
      </c>
      <c r="J11" s="66">
        <v>11104748.235363984</v>
      </c>
      <c r="K11"/>
      <c r="L11" s="126">
        <f>B11/SUM(B11:C11)</f>
        <v>0.54195011337868482</v>
      </c>
    </row>
    <row r="12" spans="1:12" x14ac:dyDescent="0.25">
      <c r="A12" s="125">
        <v>2012</v>
      </c>
      <c r="B12" s="126">
        <v>0.6179540709812108</v>
      </c>
      <c r="C12" s="126">
        <v>0.38204592901878914</v>
      </c>
      <c r="D12" s="127">
        <v>0</v>
      </c>
      <c r="E12" s="14">
        <v>75.88513513513513</v>
      </c>
      <c r="F12" s="128">
        <v>79.404371584699447</v>
      </c>
      <c r="G12" s="21">
        <v>1000</v>
      </c>
      <c r="H12" s="127">
        <v>1916.2755741127346</v>
      </c>
      <c r="I12" s="66">
        <v>5885.0896621621614</v>
      </c>
      <c r="J12" s="66">
        <v>11277453.571064714</v>
      </c>
      <c r="K12"/>
      <c r="L12" s="126">
        <f t="shared" si="0"/>
        <v>0.6179540709812108</v>
      </c>
    </row>
    <row r="13" spans="1:12" x14ac:dyDescent="0.25">
      <c r="A13" s="125">
        <v>2011</v>
      </c>
      <c r="B13" s="126">
        <v>0.49376558603491272</v>
      </c>
      <c r="C13" s="126">
        <v>0.50623441396508728</v>
      </c>
      <c r="D13" s="127">
        <v>0</v>
      </c>
      <c r="E13" s="14">
        <v>70.724747474747474</v>
      </c>
      <c r="F13" s="128">
        <v>68.160098522167488</v>
      </c>
      <c r="G13" s="21">
        <v>371</v>
      </c>
      <c r="H13" s="127">
        <v>1010.7381546134663</v>
      </c>
      <c r="I13" s="66">
        <v>5067.4262373737365</v>
      </c>
      <c r="J13" s="66">
        <v>5121841.0438029915</v>
      </c>
      <c r="K13"/>
      <c r="L13" s="126">
        <f t="shared" si="0"/>
        <v>0.49376558603491272</v>
      </c>
    </row>
    <row r="14" spans="1:12" x14ac:dyDescent="0.25">
      <c r="A14" s="125">
        <v>2010</v>
      </c>
      <c r="B14" s="126">
        <v>0.58333333333333337</v>
      </c>
      <c r="C14" s="126">
        <v>0.41666666666666669</v>
      </c>
      <c r="D14" s="127">
        <v>0</v>
      </c>
      <c r="E14" s="14">
        <v>75.038961038961034</v>
      </c>
      <c r="F14" s="128">
        <v>78.25454545454545</v>
      </c>
      <c r="G14" s="21">
        <v>146</v>
      </c>
      <c r="H14" s="127">
        <v>307.41666666666669</v>
      </c>
      <c r="I14" s="66">
        <v>5751.0133766233757</v>
      </c>
      <c r="J14" s="66">
        <v>1767957.3621969696</v>
      </c>
      <c r="K14"/>
      <c r="L14" s="126">
        <f t="shared" si="0"/>
        <v>0.58333333333333337</v>
      </c>
    </row>
    <row r="16" spans="1:12" ht="15.75" thickBot="1" x14ac:dyDescent="0.3"/>
    <row r="17" spans="9:12" ht="60" x14ac:dyDescent="0.25">
      <c r="I17" s="117" t="s">
        <v>75</v>
      </c>
      <c r="L17" s="117" t="s">
        <v>74</v>
      </c>
    </row>
    <row r="18" spans="9:12" ht="15.75" thickBot="1" x14ac:dyDescent="0.3">
      <c r="I18" s="120">
        <f>MEDIAN(I3:I14)</f>
        <v>5460.1023028846121</v>
      </c>
      <c r="L18" s="121">
        <f>MEDIAN(L3:L14)</f>
        <v>0.55991557281074744</v>
      </c>
    </row>
  </sheetData>
  <sheetProtection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1ff7fdbc-33fd-4ea8-a1cf-7d6a075e8d54">J4VZEKYA3FRV-1223122343-165</_dlc_DocId>
    <_dlc_DocIdUrl xmlns="1ff7fdbc-33fd-4ea8-a1cf-7d6a075e8d54">
      <Url>https://icfonline.sharepoint.com/sites/EP/00708.15/Implmntn/_layouts/15/DocIdRedir.aspx?ID=J4VZEKYA3FRV-1223122343-165</Url>
      <Description>J4VZEKYA3FRV-1223122343-165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BC5D0A0354544F8B9F139A68ADFFFC" ma:contentTypeVersion="194" ma:contentTypeDescription="Create a new document." ma:contentTypeScope="" ma:versionID="377161b2966f7d9f7d1cb6fa5b5c1a62">
  <xsd:schema xmlns:xsd="http://www.w3.org/2001/XMLSchema" xmlns:xs="http://www.w3.org/2001/XMLSchema" xmlns:p="http://schemas.microsoft.com/office/2006/metadata/properties" xmlns:ns2="1ff7fdbc-33fd-4ea8-a1cf-7d6a075e8d54" xmlns:ns3="78d54d66-3aa2-4086-9148-2317a1611414" targetNamespace="http://schemas.microsoft.com/office/2006/metadata/properties" ma:root="true" ma:fieldsID="26134c0fe6e878df8dfa962beaf9386b" ns2:_="" ns3:_="">
    <xsd:import namespace="1ff7fdbc-33fd-4ea8-a1cf-7d6a075e8d54"/>
    <xsd:import namespace="78d54d66-3aa2-4086-9148-2317a161141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f7fdbc-33fd-4ea8-a1cf-7d6a075e8d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8d54d66-3aa2-4086-9148-2317a161141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70554A-C1CE-4AAD-B20D-D587FC2A0163}">
  <ds:schemaRefs>
    <ds:schemaRef ds:uri="http://schemas.microsoft.com/sharepoint/events"/>
  </ds:schemaRefs>
</ds:datastoreItem>
</file>

<file path=customXml/itemProps2.xml><?xml version="1.0" encoding="utf-8"?>
<ds:datastoreItem xmlns:ds="http://schemas.openxmlformats.org/officeDocument/2006/customXml" ds:itemID="{915E01AF-A547-4578-B3DB-A50FE9D04964}">
  <ds:schemaRefs>
    <ds:schemaRef ds:uri="http://schemas.microsoft.com/office/2006/metadata/properties"/>
    <ds:schemaRef ds:uri="http://schemas.microsoft.com/office/infopath/2007/PartnerControls"/>
    <ds:schemaRef ds:uri="1ff7fdbc-33fd-4ea8-a1cf-7d6a075e8d54"/>
  </ds:schemaRefs>
</ds:datastoreItem>
</file>

<file path=customXml/itemProps3.xml><?xml version="1.0" encoding="utf-8"?>
<ds:datastoreItem xmlns:ds="http://schemas.openxmlformats.org/officeDocument/2006/customXml" ds:itemID="{CA8E51BD-A884-45F0-A8AB-A9B815826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f7fdbc-33fd-4ea8-a1cf-7d6a075e8d54"/>
    <ds:schemaRef ds:uri="78d54d66-3aa2-4086-9148-2317a1611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533A0E-52A5-4B1A-A7A8-FB0E31889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Tuolumne</vt:lpstr>
      <vt:lpstr>Stanislaus</vt:lpstr>
      <vt:lpstr>Merced</vt:lpstr>
      <vt:lpstr>Doubling Calculations </vt:lpstr>
      <vt:lpstr>SR sex ratio-fecundity</vt:lpstr>
      <vt:lpstr>TR sex ratio-fecundity</vt:lpstr>
      <vt:lpstr>MR sex ratio-fecundity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Louie, Stephen@Waterboards</dc:creator>
  <cp:keywords/>
  <dc:description/>
  <cp:lastModifiedBy>Kent, Rachel</cp:lastModifiedBy>
  <cp:revision/>
  <dcterms:created xsi:type="dcterms:W3CDTF">2023-03-23T21:12:28Z</dcterms:created>
  <dcterms:modified xsi:type="dcterms:W3CDTF">2023-04-10T20:40:46Z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0x010100DCBC5D0A0354544F8B9F139A68ADFFFC</vt:lpwstr>
  </property>
  <property fmtid="{D5CDD505-2E9C-101B-9397-08002B2CF9AE}" pid="3" name="MediaServiceImageTags">
    <vt:lpwstr/>
  </property>
  <property fmtid="{D5CDD505-2E9C-101B-9397-08002B2CF9AE}" pid="4" name="_dlc_DocIdItemGuid">
    <vt:lpwstr>90939b72-beb7-42e6-9fd7-8641b1d1249e</vt:lpwstr>
  </property>
</Properties>
</file>